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新增4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新增49!$A$2:$M$53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<sst xmlns="http://schemas.openxmlformats.org/spreadsheetml/2006/main" count="180" uniqueCount="121">
  <si>
    <t>附件：</t>
  </si>
  <si>
    <t>南充市2024年第一批拟新增医疗服务价格项目公立医疗机构试行价格表</t>
  </si>
  <si>
    <t>序号</t>
  </si>
  <si>
    <t>编码</t>
  </si>
  <si>
    <t>项目名称</t>
  </si>
  <si>
    <t>项目内涵</t>
  </si>
  <si>
    <t>除外内容</t>
  </si>
  <si>
    <t>计价单位</t>
  </si>
  <si>
    <t>说明</t>
  </si>
  <si>
    <t>三甲医院价格（元）</t>
  </si>
  <si>
    <t>三乙医院价格（元）</t>
  </si>
  <si>
    <t>二甲医院价格（元）</t>
  </si>
  <si>
    <t>二乙医院价格（元）</t>
  </si>
  <si>
    <t>二乙以下价格（元）</t>
  </si>
  <si>
    <t>标红：非三甲医疗机构</t>
  </si>
  <si>
    <r>
      <rPr>
        <b/>
        <sz val="10"/>
        <color rgb="FF000000"/>
        <rFont val="方正仿宋简体"/>
        <charset val="134"/>
      </rPr>
      <t>双源</t>
    </r>
    <r>
      <rPr>
        <b/>
        <sz val="10"/>
        <color rgb="FF000000"/>
        <rFont val="Times New Roman"/>
        <charset val="134"/>
      </rPr>
      <t>X</t>
    </r>
    <r>
      <rPr>
        <b/>
        <sz val="10"/>
        <color rgb="FF000000"/>
        <rFont val="方正仿宋简体"/>
        <charset val="134"/>
      </rPr>
      <t>线计算机（</t>
    </r>
    <r>
      <rPr>
        <b/>
        <sz val="10"/>
        <color rgb="FF000000"/>
        <rFont val="Times New Roman"/>
        <charset val="134"/>
      </rPr>
      <t>CT</t>
    </r>
    <r>
      <rPr>
        <b/>
        <sz val="10"/>
        <color rgb="FF000000"/>
        <rFont val="方正仿宋简体"/>
        <charset val="134"/>
      </rPr>
      <t>）血管成像扫描</t>
    </r>
  </si>
  <si>
    <r>
      <rPr>
        <b/>
        <sz val="10"/>
        <color rgb="FF000000"/>
        <rFont val="方正仿宋简体"/>
        <charset val="134"/>
      </rPr>
      <t>操作人员核对登记病人信息，抗过敏药物，提醒或协助患者去除体表扫描部位金属物品等，摆位，静脉输注，扫描及对比剂注射，根据需要重建轴位序列，多种三维后处理软件分析处理图像，图像后处理，冲洗照片</t>
    </r>
    <r>
      <rPr>
        <b/>
        <sz val="10"/>
        <color rgb="FF000000"/>
        <rFont val="Times New Roman"/>
        <charset val="134"/>
      </rPr>
      <t>(</t>
    </r>
    <r>
      <rPr>
        <b/>
        <sz val="10"/>
        <color rgb="FF000000"/>
        <rFont val="方正仿宋简体"/>
        <charset val="134"/>
      </rPr>
      <t>胶片</t>
    </r>
    <r>
      <rPr>
        <b/>
        <sz val="10"/>
        <color rgb="FF000000"/>
        <rFont val="Times New Roman"/>
        <charset val="134"/>
      </rPr>
      <t>)</t>
    </r>
    <r>
      <rPr>
        <b/>
        <sz val="10"/>
        <color rgb="FF000000"/>
        <rFont val="方正仿宋简体"/>
        <charset val="134"/>
      </rPr>
      <t>，医生完成诊断报告。含平扫、增强、三维重建、心电门控，胶片及冲洗，一次性注射器。</t>
    </r>
  </si>
  <si>
    <t>造影剂、麻醉、药物，高压注射器及其套件</t>
  </si>
  <si>
    <t>次</t>
  </si>
  <si>
    <t>诊疗中若需进行生命体征监测不再收费。</t>
  </si>
  <si>
    <t>年度预计例数（次）</t>
  </si>
  <si>
    <t>医院申报项目成本（元）</t>
  </si>
  <si>
    <t>年度项目成本（元）</t>
  </si>
  <si>
    <t>三方测算成本（元）</t>
  </si>
  <si>
    <t>小肠功能显象</t>
  </si>
  <si>
    <t>肿瘤全身断层显象</t>
  </si>
  <si>
    <r>
      <rPr>
        <b/>
        <sz val="10"/>
        <color rgb="FF000000"/>
        <rFont val="Times New Roman"/>
        <charset val="134"/>
      </rPr>
      <t>131</t>
    </r>
    <r>
      <rPr>
        <b/>
        <sz val="10"/>
        <color rgb="FF000000"/>
        <rFont val="方正仿宋简体"/>
        <charset val="134"/>
      </rPr>
      <t>碘</t>
    </r>
    <r>
      <rPr>
        <b/>
        <sz val="10"/>
        <color rgb="FF000000"/>
        <rFont val="Times New Roman"/>
        <charset val="134"/>
      </rPr>
      <t>-</t>
    </r>
    <r>
      <rPr>
        <b/>
        <sz val="10"/>
        <color rgb="FF000000"/>
        <rFont val="方正仿宋简体"/>
        <charset val="134"/>
      </rPr>
      <t>肿瘤抗体放免治疗</t>
    </r>
  </si>
  <si>
    <r>
      <rPr>
        <b/>
        <sz val="10"/>
        <color rgb="FF000000"/>
        <rFont val="Times New Roman"/>
        <charset val="134"/>
      </rPr>
      <t>32</t>
    </r>
    <r>
      <rPr>
        <b/>
        <sz val="10"/>
        <color rgb="FF000000"/>
        <rFont val="方正仿宋简体"/>
        <charset val="134"/>
      </rPr>
      <t>磷</t>
    </r>
    <r>
      <rPr>
        <b/>
        <sz val="10"/>
        <color rgb="FF000000"/>
        <rFont val="Times New Roman"/>
        <charset val="134"/>
      </rPr>
      <t>-</t>
    </r>
    <r>
      <rPr>
        <b/>
        <sz val="10"/>
        <color rgb="FF000000"/>
        <rFont val="方正仿宋简体"/>
        <charset val="134"/>
      </rPr>
      <t>胶体腔内治疗</t>
    </r>
  </si>
  <si>
    <r>
      <rPr>
        <b/>
        <sz val="10"/>
        <color rgb="FF000000"/>
        <rFont val="Times New Roman"/>
        <charset val="134"/>
      </rPr>
      <t>32</t>
    </r>
    <r>
      <rPr>
        <b/>
        <sz val="10"/>
        <color rgb="FF000000"/>
        <rFont val="方正仿宋简体"/>
        <charset val="134"/>
      </rPr>
      <t>磷</t>
    </r>
    <r>
      <rPr>
        <b/>
        <sz val="10"/>
        <color rgb="FF000000"/>
        <rFont val="Times New Roman"/>
        <charset val="134"/>
      </rPr>
      <t>-</t>
    </r>
    <r>
      <rPr>
        <b/>
        <sz val="10"/>
        <color rgb="FF000000"/>
        <rFont val="方正仿宋简体"/>
        <charset val="134"/>
      </rPr>
      <t>血液病治疗</t>
    </r>
  </si>
  <si>
    <r>
      <rPr>
        <b/>
        <sz val="10"/>
        <color rgb="FF000000"/>
        <rFont val="Times New Roman"/>
        <charset val="134"/>
      </rPr>
      <t>32</t>
    </r>
    <r>
      <rPr>
        <b/>
        <sz val="10"/>
        <color rgb="FF000000"/>
        <rFont val="方正仿宋简体"/>
        <charset val="134"/>
      </rPr>
      <t>磷</t>
    </r>
    <r>
      <rPr>
        <b/>
        <sz val="10"/>
        <color rgb="FF000000"/>
        <rFont val="Times New Roman"/>
        <charset val="134"/>
      </rPr>
      <t>-</t>
    </r>
    <r>
      <rPr>
        <b/>
        <sz val="10"/>
        <color rgb="FF000000"/>
        <rFont val="方正仿宋简体"/>
        <charset val="134"/>
      </rPr>
      <t>微球介入治疗</t>
    </r>
  </si>
  <si>
    <r>
      <rPr>
        <b/>
        <sz val="10"/>
        <color rgb="FF000000"/>
        <rFont val="Times New Roman"/>
        <charset val="134"/>
      </rPr>
      <t>90</t>
    </r>
    <r>
      <rPr>
        <b/>
        <sz val="10"/>
        <color rgb="FF000000"/>
        <rFont val="方正仿宋简体"/>
        <charset val="134"/>
      </rPr>
      <t>钇</t>
    </r>
    <r>
      <rPr>
        <b/>
        <sz val="10"/>
        <color rgb="FF000000"/>
        <rFont val="Times New Roman"/>
        <charset val="134"/>
      </rPr>
      <t>-</t>
    </r>
    <r>
      <rPr>
        <b/>
        <sz val="10"/>
        <color rgb="FF000000"/>
        <rFont val="方正仿宋简体"/>
        <charset val="134"/>
      </rPr>
      <t>微球介入治疗</t>
    </r>
  </si>
  <si>
    <r>
      <rPr>
        <b/>
        <sz val="10"/>
        <color rgb="FF000000"/>
        <rFont val="方正仿宋简体"/>
        <charset val="134"/>
      </rPr>
      <t>骨钙素</t>
    </r>
    <r>
      <rPr>
        <b/>
        <sz val="10"/>
        <color rgb="FF000000"/>
        <rFont val="Times New Roman"/>
        <charset val="134"/>
      </rPr>
      <t>N</t>
    </r>
    <r>
      <rPr>
        <b/>
        <sz val="10"/>
        <color rgb="FF000000"/>
        <rFont val="方正仿宋简体"/>
        <charset val="134"/>
      </rPr>
      <t>端中分子片段测定（</t>
    </r>
    <r>
      <rPr>
        <b/>
        <sz val="10"/>
        <color rgb="FF000000"/>
        <rFont val="Times New Roman"/>
        <charset val="134"/>
      </rPr>
      <t>N-MID</t>
    </r>
    <r>
      <rPr>
        <b/>
        <sz val="10"/>
        <color rgb="FF000000"/>
        <rFont val="方正仿宋简体"/>
        <charset val="134"/>
      </rPr>
      <t>）</t>
    </r>
  </si>
  <si>
    <t>化学发光法</t>
  </si>
  <si>
    <t>/</t>
  </si>
  <si>
    <t>项</t>
  </si>
  <si>
    <r>
      <rPr>
        <b/>
        <sz val="10"/>
        <rFont val="Times New Roman"/>
        <charset val="134"/>
      </rPr>
      <t>CYP2C19</t>
    </r>
    <r>
      <rPr>
        <b/>
        <sz val="10"/>
        <rFont val="方正仿宋简体"/>
        <charset val="134"/>
      </rPr>
      <t>基因的突变检测</t>
    </r>
  </si>
  <si>
    <r>
      <rPr>
        <b/>
        <sz val="10"/>
        <rFont val="方正仿宋简体"/>
        <charset val="134"/>
      </rPr>
      <t>包含检测过程中所需的一次性卫生耗材，样本采集、签收、处理</t>
    </r>
    <r>
      <rPr>
        <b/>
        <sz val="10"/>
        <rFont val="Times New Roman"/>
        <charset val="134"/>
      </rPr>
      <t>(</t>
    </r>
    <r>
      <rPr>
        <b/>
        <sz val="10"/>
        <rFont val="方正仿宋简体"/>
        <charset val="134"/>
      </rPr>
      <t>据标本类型不同进行相应的前处理</t>
    </r>
    <r>
      <rPr>
        <b/>
        <sz val="10"/>
        <rFont val="Times New Roman"/>
        <charset val="134"/>
      </rPr>
      <t>)</t>
    </r>
    <r>
      <rPr>
        <b/>
        <sz val="10"/>
        <rFont val="方正仿宋简体"/>
        <charset val="134"/>
      </rPr>
      <t>，提取基因组</t>
    </r>
    <r>
      <rPr>
        <b/>
        <sz val="10"/>
        <rFont val="Times New Roman"/>
        <charset val="134"/>
      </rPr>
      <t>DNA</t>
    </r>
    <r>
      <rPr>
        <b/>
        <sz val="10"/>
        <rFont val="方正仿宋简体"/>
        <charset val="134"/>
      </rPr>
      <t>，与质控品、阴阳性对照和内参同时扩增，分析扩增产物或杂交或测序等，进行基因分析，判断并审核结果，录入实验室信息系统或人工登记，发送报告；按规定处理废弃物；接受临床相关咨询</t>
    </r>
  </si>
  <si>
    <t>经皮穿刺三叉神经半月节射频温控热凝术</t>
  </si>
  <si>
    <r>
      <rPr>
        <b/>
        <sz val="10"/>
        <color rgb="FF000000"/>
        <rFont val="方正仿宋简体"/>
        <charset val="134"/>
      </rPr>
      <t>含</t>
    </r>
    <r>
      <rPr>
        <b/>
        <sz val="10"/>
        <color rgb="FF000000"/>
        <rFont val="Times New Roman"/>
        <charset val="134"/>
      </rPr>
      <t>CT</t>
    </r>
    <r>
      <rPr>
        <b/>
        <sz val="10"/>
        <color rgb="FF000000"/>
        <rFont val="方正仿宋简体"/>
        <charset val="134"/>
      </rPr>
      <t>定位、神经感觉定位、射频温控治疗、测定疗效范围、局部加压；包括感觉根射频温控热凝；不含术中影像学检查、全麻</t>
    </r>
  </si>
  <si>
    <t>310100029-1</t>
  </si>
  <si>
    <t>经皮穿刺三叉神经半月节射频温控热凝术（感觉根射频温控热凝）</t>
  </si>
  <si>
    <t>经皮穿刺三叉神经干注射术</t>
  </si>
  <si>
    <r>
      <rPr>
        <b/>
        <sz val="10"/>
        <color rgb="FF000000"/>
        <rFont val="方正仿宋简体"/>
        <charset val="134"/>
      </rPr>
      <t>含</t>
    </r>
    <r>
      <rPr>
        <b/>
        <sz val="10"/>
        <color rgb="FF000000"/>
        <rFont val="Times New Roman"/>
        <charset val="134"/>
      </rPr>
      <t>CT</t>
    </r>
    <r>
      <rPr>
        <b/>
        <sz val="10"/>
        <color rgb="FF000000"/>
        <rFont val="方正仿宋简体"/>
        <charset val="134"/>
      </rPr>
      <t>定位、神经感觉定位、注射药物、测定疗效范围、局部加压；不含术中影像学检查</t>
    </r>
  </si>
  <si>
    <t>醛固酮肾素测定卧立位试验</t>
  </si>
  <si>
    <r>
      <rPr>
        <b/>
        <sz val="10"/>
        <color rgb="FF000000"/>
        <rFont val="方正仿宋简体"/>
        <charset val="134"/>
      </rPr>
      <t>含血醛固酮肾素测定</t>
    </r>
    <r>
      <rPr>
        <b/>
        <sz val="10"/>
        <color rgb="FF000000"/>
        <rFont val="Times New Roman"/>
        <charset val="134"/>
      </rPr>
      <t>2</t>
    </r>
    <r>
      <rPr>
        <b/>
        <sz val="10"/>
        <color rgb="FF000000"/>
        <rFont val="方正仿宋简体"/>
        <charset val="134"/>
      </rPr>
      <t>次</t>
    </r>
  </si>
  <si>
    <t>每试验项目</t>
  </si>
  <si>
    <t>心音图</t>
  </si>
  <si>
    <t>前列腺特殊治疗</t>
  </si>
  <si>
    <t>指微波法</t>
  </si>
  <si>
    <t>—</t>
  </si>
  <si>
    <r>
      <rPr>
        <b/>
        <sz val="10"/>
        <rFont val="宋体"/>
        <charset val="134"/>
      </rPr>
      <t>激光、射频法加收</t>
    </r>
    <r>
      <rPr>
        <b/>
        <sz val="10"/>
        <rFont val="Times New Roman"/>
        <charset val="134"/>
      </rPr>
      <t>30</t>
    </r>
    <r>
      <rPr>
        <b/>
        <sz val="10"/>
        <rFont val="宋体"/>
        <charset val="134"/>
      </rPr>
      <t>元</t>
    </r>
  </si>
  <si>
    <t>311100017-1</t>
  </si>
  <si>
    <t>前列腺特殊治疗（激光加收）</t>
  </si>
  <si>
    <t>311100017-2</t>
  </si>
  <si>
    <t>前列腺特殊治疗（射频法加收）</t>
  </si>
  <si>
    <t>双球囊促宫颈成熟及引产术</t>
  </si>
  <si>
    <t>服务价格中含双球囊和一次性耗材费用，外阴清洁清毒，充分暴露宫颈，将双球囊放置于宫颈内口，以促宫颈成熟及引产。</t>
  </si>
  <si>
    <r>
      <rPr>
        <b/>
        <sz val="10"/>
        <color rgb="FF000000"/>
        <rFont val="方正仿宋简体"/>
        <charset val="134"/>
      </rPr>
      <t>麻醉深度电生理监测</t>
    </r>
  </si>
  <si>
    <r>
      <rPr>
        <b/>
        <sz val="10"/>
        <color rgb="FF000000"/>
        <rFont val="方正仿宋简体"/>
        <charset val="134"/>
      </rPr>
      <t>连续电极或传感器，使用神经电生理监测仪，根据脑电图、双频谱指数（</t>
    </r>
    <r>
      <rPr>
        <b/>
        <sz val="10"/>
        <color rgb="FF000000"/>
        <rFont val="Times New Roman"/>
        <charset val="134"/>
      </rPr>
      <t>BIS</t>
    </r>
    <r>
      <rPr>
        <b/>
        <sz val="10"/>
        <color rgb="FF000000"/>
        <rFont val="方正仿宋简体"/>
        <charset val="134"/>
      </rPr>
      <t>），诱发电位等图形数据的变化调节麻醉深度。</t>
    </r>
  </si>
  <si>
    <r>
      <rPr>
        <b/>
        <sz val="10"/>
        <color rgb="FF000000"/>
        <rFont val="方正仿宋简体"/>
        <charset val="134"/>
      </rPr>
      <t>传感器</t>
    </r>
  </si>
  <si>
    <r>
      <rPr>
        <b/>
        <sz val="10"/>
        <color rgb="FF000000"/>
        <rFont val="Times New Roman"/>
        <charset val="134"/>
      </rPr>
      <t>2</t>
    </r>
    <r>
      <rPr>
        <b/>
        <sz val="10"/>
        <color rgb="FF000000"/>
        <rFont val="方正仿宋简体"/>
        <charset val="134"/>
      </rPr>
      <t>小时</t>
    </r>
  </si>
  <si>
    <r>
      <rPr>
        <b/>
        <sz val="10"/>
        <color rgb="FF000000"/>
        <rFont val="Times New Roman"/>
        <charset val="134"/>
      </rPr>
      <t>2</t>
    </r>
    <r>
      <rPr>
        <b/>
        <sz val="10"/>
        <color rgb="FF000000"/>
        <rFont val="方正仿宋简体"/>
        <charset val="134"/>
      </rPr>
      <t>小时后每增加</t>
    </r>
    <r>
      <rPr>
        <b/>
        <sz val="10"/>
        <color rgb="FF000000"/>
        <rFont val="Times New Roman"/>
        <charset val="134"/>
      </rPr>
      <t>1</t>
    </r>
    <r>
      <rPr>
        <b/>
        <sz val="10"/>
        <color rgb="FF000000"/>
        <rFont val="方正仿宋简体"/>
        <charset val="134"/>
      </rPr>
      <t>小时加收</t>
    </r>
    <r>
      <rPr>
        <b/>
        <sz val="10"/>
        <color rgb="FF000000"/>
        <rFont val="Times New Roman"/>
        <charset val="134"/>
      </rPr>
      <t>23</t>
    </r>
    <r>
      <rPr>
        <b/>
        <sz val="10"/>
        <color rgb="FF000000"/>
        <rFont val="方正仿宋简体"/>
        <charset val="134"/>
      </rPr>
      <t>元，不足</t>
    </r>
    <r>
      <rPr>
        <b/>
        <sz val="10"/>
        <color rgb="FF000000"/>
        <rFont val="Times New Roman"/>
        <charset val="134"/>
      </rPr>
      <t>1</t>
    </r>
    <r>
      <rPr>
        <b/>
        <sz val="10"/>
        <color rgb="FF000000"/>
        <rFont val="方正仿宋简体"/>
        <charset val="134"/>
      </rPr>
      <t>小时按</t>
    </r>
    <r>
      <rPr>
        <b/>
        <sz val="10"/>
        <color rgb="FF000000"/>
        <rFont val="Times New Roman"/>
        <charset val="134"/>
      </rPr>
      <t>1</t>
    </r>
    <r>
      <rPr>
        <b/>
        <sz val="10"/>
        <color rgb="FF000000"/>
        <rFont val="方正仿宋简体"/>
        <charset val="134"/>
      </rPr>
      <t>小时计算。</t>
    </r>
  </si>
  <si>
    <t>330100031-1</t>
  </si>
  <si>
    <r>
      <rPr>
        <b/>
        <sz val="10"/>
        <color rgb="FF000000"/>
        <rFont val="方正仿宋简体"/>
        <charset val="134"/>
      </rPr>
      <t>麻醉深度电生理监测（</t>
    </r>
    <r>
      <rPr>
        <b/>
        <sz val="10"/>
        <color rgb="FF000000"/>
        <rFont val="Times New Roman"/>
        <charset val="134"/>
      </rPr>
      <t>2</t>
    </r>
    <r>
      <rPr>
        <b/>
        <sz val="10"/>
        <color rgb="FF000000"/>
        <rFont val="方正仿宋简体"/>
        <charset val="134"/>
      </rPr>
      <t>小时后每增加</t>
    </r>
    <r>
      <rPr>
        <b/>
        <sz val="10"/>
        <color rgb="FF000000"/>
        <rFont val="Times New Roman"/>
        <charset val="134"/>
      </rPr>
      <t>1</t>
    </r>
    <r>
      <rPr>
        <b/>
        <sz val="10"/>
        <color rgb="FF000000"/>
        <rFont val="方正仿宋简体"/>
        <charset val="134"/>
      </rPr>
      <t>小时加收）</t>
    </r>
  </si>
  <si>
    <r>
      <rPr>
        <b/>
        <sz val="10"/>
        <color rgb="FF000000"/>
        <rFont val="方正仿宋简体"/>
        <charset val="134"/>
      </rPr>
      <t>小时</t>
    </r>
  </si>
  <si>
    <r>
      <rPr>
        <b/>
        <sz val="10"/>
        <color rgb="FF000000"/>
        <rFont val="方正仿宋简体"/>
        <charset val="134"/>
      </rPr>
      <t>不足</t>
    </r>
    <r>
      <rPr>
        <b/>
        <sz val="10"/>
        <color rgb="FF000000"/>
        <rFont val="Times New Roman"/>
        <charset val="134"/>
      </rPr>
      <t>1</t>
    </r>
    <r>
      <rPr>
        <b/>
        <sz val="10"/>
        <color rgb="FF000000"/>
        <rFont val="方正仿宋简体"/>
        <charset val="134"/>
      </rPr>
      <t>小时按</t>
    </r>
    <r>
      <rPr>
        <b/>
        <sz val="10"/>
        <color rgb="FF000000"/>
        <rFont val="Times New Roman"/>
        <charset val="134"/>
      </rPr>
      <t>1</t>
    </r>
    <r>
      <rPr>
        <b/>
        <sz val="10"/>
        <color rgb="FF000000"/>
        <rFont val="方正仿宋简体"/>
        <charset val="134"/>
      </rPr>
      <t>小时计算</t>
    </r>
  </si>
  <si>
    <t>开腹排粪石术</t>
  </si>
  <si>
    <t>包括去蛔虫</t>
  </si>
  <si>
    <t>331004034-1</t>
  </si>
  <si>
    <t>开腹排粪石术（去蛔虫）</t>
  </si>
  <si>
    <t>脑皮质切除术</t>
  </si>
  <si>
    <t>选择性杏仁核海马切除术</t>
  </si>
  <si>
    <t>经颅内镜第三脑室底造瘘术</t>
  </si>
  <si>
    <t>经颅内镜脑内囊肿造口术</t>
  </si>
  <si>
    <t>经颅内镜脑室脉络丛烧灼术</t>
  </si>
  <si>
    <t>经耳面神经梳理术</t>
  </si>
  <si>
    <t>经皮穿刺骶神经囊肿治疗术</t>
  </si>
  <si>
    <t>双行睫矫正术</t>
  </si>
  <si>
    <t>单侧</t>
  </si>
  <si>
    <t>眼震矫正术</t>
  </si>
  <si>
    <t>人工听骨听力重建术</t>
  </si>
  <si>
    <t>经鼻内镜眶减压术</t>
  </si>
  <si>
    <t>颈侧径路咽食管肿瘤切除术</t>
  </si>
  <si>
    <t>喉功能重建术</t>
  </si>
  <si>
    <t>含肌肉、会厌、舌骨瓣、咽下缩肌等局部修复手段</t>
  </si>
  <si>
    <t>331523002-1</t>
  </si>
  <si>
    <r>
      <rPr>
        <b/>
        <sz val="10"/>
        <color rgb="FF000000"/>
        <rFont val="方正仿宋简体"/>
        <charset val="134"/>
      </rPr>
      <t>皮肤牵引术</t>
    </r>
    <r>
      <rPr>
        <b/>
        <sz val="10"/>
        <color rgb="FF000000"/>
        <rFont val="Times New Roman"/>
        <charset val="134"/>
      </rPr>
      <t>(</t>
    </r>
    <r>
      <rPr>
        <b/>
        <sz val="10"/>
        <color rgb="FF000000"/>
        <rFont val="方正仿宋简体"/>
        <charset val="134"/>
      </rPr>
      <t>每日加收</t>
    </r>
    <r>
      <rPr>
        <b/>
        <sz val="10"/>
        <color rgb="FF000000"/>
        <rFont val="Times New Roman"/>
        <charset val="134"/>
      </rPr>
      <t>)</t>
    </r>
  </si>
  <si>
    <t>日</t>
  </si>
  <si>
    <t>331523003-1</t>
  </si>
  <si>
    <r>
      <rPr>
        <b/>
        <sz val="10"/>
        <color rgb="FF000000"/>
        <rFont val="方正仿宋简体"/>
        <charset val="134"/>
      </rPr>
      <t>骨骼牵引术</t>
    </r>
    <r>
      <rPr>
        <b/>
        <sz val="10"/>
        <color rgb="FF000000"/>
        <rFont val="Times New Roman"/>
        <charset val="134"/>
      </rPr>
      <t>(</t>
    </r>
    <r>
      <rPr>
        <b/>
        <sz val="10"/>
        <color rgb="FF000000"/>
        <rFont val="方正仿宋简体"/>
        <charset val="134"/>
      </rPr>
      <t>每日加收</t>
    </r>
    <r>
      <rPr>
        <b/>
        <sz val="10"/>
        <color rgb="FF000000"/>
        <rFont val="Times New Roman"/>
        <charset val="134"/>
      </rPr>
      <t>)</t>
    </r>
  </si>
  <si>
    <t>颈部开放性损伤探查术</t>
  </si>
  <si>
    <t>激光疗法</t>
  </si>
  <si>
    <t>包括原光束、散焦激光疗法</t>
  </si>
  <si>
    <t>每个照射区</t>
  </si>
  <si>
    <t>340100005-1</t>
  </si>
  <si>
    <t>激光疗法（原光束）</t>
  </si>
  <si>
    <t>340100005-2</t>
  </si>
  <si>
    <t>激光疗法（散焦激光疗法）</t>
  </si>
  <si>
    <t>冷疗</t>
  </si>
  <si>
    <t>每部位</t>
  </si>
  <si>
    <t>CEBY1000</t>
  </si>
  <si>
    <t>脑脊液磷酸化Tau蛋白检测</t>
  </si>
  <si>
    <r>
      <rPr>
        <b/>
        <sz val="10"/>
        <color rgb="FF000000"/>
        <rFont val="方正仿宋简体"/>
        <charset val="134"/>
      </rPr>
      <t>磷酸化</t>
    </r>
    <r>
      <rPr>
        <b/>
        <sz val="10"/>
        <color rgb="FF000000"/>
        <rFont val="Times New Roman"/>
        <charset val="134"/>
      </rPr>
      <t>Tau</t>
    </r>
    <r>
      <rPr>
        <b/>
        <sz val="10"/>
        <color rgb="FF000000"/>
        <rFont val="方正仿宋简体"/>
        <charset val="134"/>
      </rPr>
      <t>蛋白可以反映神经细胞损伤程度，是老年痴呆等疾病的早期辅助诊断指标。</t>
    </r>
  </si>
  <si>
    <t>CEHW1000</t>
  </si>
  <si>
    <r>
      <rPr>
        <b/>
        <sz val="10"/>
        <color rgb="FF000000"/>
        <rFont val="方正仿宋简体"/>
        <charset val="134"/>
      </rPr>
      <t>氧化修饰低密度脂蛋白（</t>
    </r>
    <r>
      <rPr>
        <b/>
        <sz val="10"/>
        <color rgb="FF000000"/>
        <rFont val="Times New Roman"/>
        <charset val="134"/>
      </rPr>
      <t>OXLDL</t>
    </r>
    <r>
      <rPr>
        <b/>
        <sz val="10"/>
        <color rgb="FF000000"/>
        <rFont val="宋体"/>
        <charset val="134"/>
      </rPr>
      <t>）</t>
    </r>
    <r>
      <rPr>
        <b/>
        <sz val="10"/>
        <color rgb="FF000000"/>
        <rFont val="方正仿宋简体"/>
        <charset val="134"/>
      </rPr>
      <t>定量测定</t>
    </r>
  </si>
  <si>
    <r>
      <rPr>
        <b/>
        <sz val="10"/>
        <color rgb="FF000000"/>
        <rFont val="方正仿宋简体"/>
        <charset val="134"/>
      </rPr>
      <t>检测试剂，一次性吸嘴，低值易耗品，</t>
    </r>
    <r>
      <rPr>
        <b/>
        <sz val="10"/>
        <color rgb="FF000000"/>
        <rFont val="Times New Roman"/>
        <charset val="134"/>
      </rPr>
      <t>A4</t>
    </r>
    <r>
      <rPr>
        <b/>
        <sz val="10"/>
        <color rgb="FF000000"/>
        <rFont val="方正仿宋简体"/>
        <charset val="134"/>
      </rPr>
      <t>纸</t>
    </r>
    <r>
      <rPr>
        <b/>
        <sz val="10"/>
        <color rgb="FF000000"/>
        <rFont val="Times New Roman"/>
        <charset val="134"/>
      </rPr>
      <t>.</t>
    </r>
    <r>
      <rPr>
        <b/>
        <sz val="10"/>
        <color rgb="FF000000"/>
        <rFont val="方正仿宋简体"/>
        <charset val="134"/>
      </rPr>
      <t>样本类型：新鲜血液。样本采集，加入试剂，审核结果，录入实验室信息系统或人工登记，发送报告；按规定处理废弃物；接受临床相关咨询。</t>
    </r>
  </si>
  <si>
    <t>HJE90303</t>
  </si>
  <si>
    <t>肺外周结节实时电磁导航定位活检术</t>
  </si>
  <si>
    <r>
      <rPr>
        <b/>
        <sz val="10"/>
        <color rgb="FF000000"/>
        <rFont val="方正仿宋简体"/>
        <charset val="134"/>
      </rPr>
      <t>将胸部扫描的</t>
    </r>
    <r>
      <rPr>
        <b/>
        <sz val="10"/>
        <color rgb="FF000000"/>
        <rFont val="Times New Roman"/>
        <charset val="134"/>
      </rPr>
      <t>CT</t>
    </r>
    <r>
      <rPr>
        <b/>
        <sz val="10"/>
        <color rgb="FF000000"/>
        <rFont val="方正仿宋简体"/>
        <charset val="134"/>
      </rPr>
      <t>数据刻录光盘导入导航系统</t>
    </r>
    <r>
      <rPr>
        <b/>
        <sz val="10"/>
        <color rgb="FF000000"/>
        <rFont val="Times New Roman"/>
        <charset val="134"/>
      </rPr>
      <t>;</t>
    </r>
    <r>
      <rPr>
        <b/>
        <sz val="10"/>
        <color rgb="FF000000"/>
        <rFont val="方正仿宋简体"/>
        <charset val="134"/>
      </rPr>
      <t>建立三位成像，寻找目标病灶，通过系统生成并建立达到病灶部位的导航路径</t>
    </r>
    <r>
      <rPr>
        <b/>
        <sz val="10"/>
        <color rgb="FF000000"/>
        <rFont val="Times New Roman"/>
        <charset val="134"/>
      </rPr>
      <t>;</t>
    </r>
    <r>
      <rPr>
        <b/>
        <sz val="10"/>
        <color rgb="FF000000"/>
        <rFont val="方正仿宋简体"/>
        <charset val="134"/>
      </rPr>
      <t>将设置好的导航路径信息存储于导航系统</t>
    </r>
    <r>
      <rPr>
        <b/>
        <sz val="10"/>
        <color rgb="FF000000"/>
        <rFont val="Times New Roman"/>
        <charset val="134"/>
      </rPr>
      <t>;</t>
    </r>
    <r>
      <rPr>
        <b/>
        <sz val="10"/>
        <color rgb="FF000000"/>
        <rFont val="方正仿宋简体"/>
        <charset val="134"/>
      </rPr>
      <t>患者全麻下通过支气管镜连接气管内镜定位导管和内窥镜工作通道延长导管</t>
    </r>
    <r>
      <rPr>
        <b/>
        <sz val="10"/>
        <color rgb="FF000000"/>
        <rFont val="Times New Roman"/>
        <charset val="134"/>
      </rPr>
      <t>;</t>
    </r>
    <r>
      <rPr>
        <b/>
        <sz val="10"/>
        <color rgb="FF000000"/>
        <rFont val="方正仿宋简体"/>
        <charset val="134"/>
      </rPr>
      <t>在实时电磁导航引导下，将内窥镜工作通道延长导管引导到距离目标病灶</t>
    </r>
    <r>
      <rPr>
        <b/>
        <sz val="10"/>
        <color rgb="FF000000"/>
        <rFont val="Times New Roman"/>
        <charset val="134"/>
      </rPr>
      <t>1.5</t>
    </r>
    <r>
      <rPr>
        <b/>
        <sz val="10"/>
        <color rgb="FF000000"/>
        <rFont val="方正仿宋简体"/>
        <charset val="134"/>
      </rPr>
      <t>厘米范围内</t>
    </r>
    <r>
      <rPr>
        <b/>
        <sz val="10"/>
        <color rgb="FF000000"/>
        <rFont val="Times New Roman"/>
        <charset val="134"/>
      </rPr>
      <t>;</t>
    </r>
    <r>
      <rPr>
        <b/>
        <sz val="10"/>
        <color rgb="FF000000"/>
        <rFont val="方正仿宋简体"/>
        <charset val="134"/>
      </rPr>
      <t>抽出气管内镜定位导管，建立经支气管到达肺部目标病灶多功能工作通道</t>
    </r>
    <r>
      <rPr>
        <b/>
        <sz val="10"/>
        <color rgb="FF000000"/>
        <rFont val="Times New Roman"/>
        <charset val="134"/>
      </rPr>
      <t>;</t>
    </r>
    <r>
      <rPr>
        <b/>
        <sz val="10"/>
        <color rgb="FF000000"/>
        <rFont val="方正仿宋简体"/>
        <charset val="134"/>
      </rPr>
      <t>进行目标病灶的活检取样、刷片、穿刺、外科手术的标记定位等诊治操作。不含病理学检查、活检。</t>
    </r>
  </si>
  <si>
    <t>导管、延长导管</t>
  </si>
  <si>
    <t>KJA21907</t>
  </si>
  <si>
    <t>医护陪舱治疗</t>
  </si>
  <si>
    <t>病人在高压氧舱治疗中有医生或护士在舱中监护和指导治疗。</t>
  </si>
  <si>
    <t>MACZY003</t>
  </si>
  <si>
    <t>动静态平衡功能评定</t>
  </si>
  <si>
    <t>治疗师利用动静态平衡训练系统对患者进行智能化、情景互动化平衡功能定量、精确评定。</t>
  </si>
  <si>
    <r>
      <rPr>
        <b/>
        <sz val="10"/>
        <color rgb="FF000000"/>
        <rFont val="方正仿宋简体"/>
        <charset val="134"/>
      </rPr>
      <t>治疗师</t>
    </r>
    <r>
      <rPr>
        <b/>
        <sz val="10"/>
        <color rgb="FF000000"/>
        <rFont val="Times New Roman"/>
        <charset val="134"/>
      </rPr>
      <t>2</t>
    </r>
    <r>
      <rPr>
        <b/>
        <sz val="10"/>
        <color rgb="FF000000"/>
        <rFont val="方正仿宋简体"/>
        <charset val="134"/>
      </rPr>
      <t>名；耗时</t>
    </r>
    <r>
      <rPr>
        <b/>
        <sz val="10"/>
        <color rgb="FF000000"/>
        <rFont val="Times New Roman"/>
        <charset val="134"/>
      </rPr>
      <t>1--2</t>
    </r>
    <r>
      <rPr>
        <b/>
        <sz val="10"/>
        <color rgb="FF000000"/>
        <rFont val="方正仿宋简体"/>
        <charset val="134"/>
      </rPr>
      <t>小时</t>
    </r>
  </si>
  <si>
    <t>MBBZX025</t>
  </si>
  <si>
    <t>动静态平衡训练</t>
  </si>
  <si>
    <t>治疗师利用动静态平衡训练系统对患者进行智能化、情景互动化平衡功能训练。</t>
  </si>
  <si>
    <r>
      <rPr>
        <b/>
        <sz val="10"/>
        <color rgb="FF000000"/>
        <rFont val="方正仿宋简体"/>
        <charset val="134"/>
      </rPr>
      <t>治疗师</t>
    </r>
    <r>
      <rPr>
        <b/>
        <sz val="10"/>
        <color rgb="FF000000"/>
        <rFont val="Times New Roman"/>
        <charset val="134"/>
      </rPr>
      <t>2</t>
    </r>
    <r>
      <rPr>
        <b/>
        <sz val="10"/>
        <color rgb="FF000000"/>
        <rFont val="方正仿宋简体"/>
        <charset val="134"/>
      </rPr>
      <t>名；耗时</t>
    </r>
    <r>
      <rPr>
        <b/>
        <sz val="10"/>
        <color rgb="FF000000"/>
        <rFont val="Times New Roman"/>
        <charset val="134"/>
      </rPr>
      <t>40</t>
    </r>
    <r>
      <rPr>
        <b/>
        <sz val="10"/>
        <color rgb="FF000000"/>
        <rFont val="方正仿宋简体"/>
        <charset val="134"/>
      </rPr>
      <t>分钟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</si>
</sst>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_ "/>
  </numFmts>
  <fonts count="42">
    <font>
      <sz val="11"/>
      <color theme="1"/>
      <name val="宋体"/>
      <charset val="134"/>
      <scheme val="minor"/>
    </font>
    <font>
      <b/>
      <sz val="20"/>
      <color theme="1"/>
      <name val="宋体"/>
      <charset val="134"/>
      <scheme val="minor"/>
    </font>
    <font>
      <b/>
      <sz val="11"/>
      <color theme="1"/>
      <name val="方正黑体简体"/>
      <charset val="134"/>
    </font>
    <font>
      <sz val="11"/>
      <name val="宋体"/>
      <charset val="134"/>
      <scheme val="minor"/>
    </font>
    <font>
      <sz val="11"/>
      <color theme="1"/>
      <name val="Times New Roman"/>
      <charset val="134"/>
    </font>
    <font>
      <sz val="10"/>
      <name val="宋体"/>
      <charset val="134"/>
      <scheme val="minor"/>
    </font>
    <font>
      <sz val="10"/>
      <color theme="1"/>
      <name val="宋体"/>
      <charset val="134"/>
      <scheme val="minor"/>
    </font>
    <font>
      <b/>
      <sz val="11"/>
      <color theme="1"/>
      <name val="宋体"/>
      <charset val="134"/>
    </font>
    <font>
      <b/>
      <sz val="11"/>
      <color rgb="FFFF0000"/>
      <name val="宋体"/>
      <charset val="134"/>
    </font>
    <font>
      <b/>
      <sz val="14"/>
      <color theme="1"/>
      <name val="方正黑体简体"/>
      <charset val="134"/>
    </font>
    <font>
      <b/>
      <sz val="20"/>
      <color theme="1"/>
      <name val="方正小标宋_GBK"/>
      <charset val="134"/>
    </font>
    <font>
      <b/>
      <sz val="10"/>
      <color rgb="FF000000"/>
      <name val="Times New Roman"/>
      <charset val="134"/>
    </font>
    <font>
      <b/>
      <sz val="10"/>
      <color rgb="FF000000"/>
      <name val="方正仿宋简体"/>
      <charset val="134"/>
    </font>
    <font>
      <b/>
      <sz val="10"/>
      <name val="Times New Roman"/>
      <charset val="134"/>
    </font>
    <font>
      <b/>
      <sz val="10"/>
      <name val="方正仿宋简体"/>
      <charset val="134"/>
    </font>
    <font>
      <b/>
      <sz val="10"/>
      <name val="宋体"/>
      <charset val="134"/>
    </font>
    <font>
      <b/>
      <sz val="24"/>
      <color theme="1"/>
      <name val="宋体"/>
      <charset val="134"/>
    </font>
    <font>
      <b/>
      <sz val="10"/>
      <color theme="1"/>
      <name val="Times New Roman"/>
      <charset val="134"/>
    </font>
    <font>
      <b/>
      <sz val="11"/>
      <color rgb="FF000000"/>
      <name val="宋体"/>
      <charset val="134"/>
    </font>
    <font>
      <b/>
      <sz val="11"/>
      <name val="宋体"/>
      <charset val="134"/>
    </font>
    <font>
      <b/>
      <sz val="24"/>
      <color rgb="FFFF0000"/>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3" borderId="6" applyNumberFormat="0" applyAlignment="0" applyProtection="0">
      <alignment vertical="center"/>
    </xf>
    <xf numFmtId="0" fontId="31" fillId="4" borderId="7" applyNumberFormat="0" applyAlignment="0" applyProtection="0">
      <alignment vertical="center"/>
    </xf>
    <xf numFmtId="0" fontId="32" fillId="4" borderId="6" applyNumberFormat="0" applyAlignment="0" applyProtection="0">
      <alignment vertical="center"/>
    </xf>
    <xf numFmtId="0" fontId="33" fillId="5"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Fill="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0" xfId="0" applyFont="1" applyFill="1" applyBorder="1">
      <alignment vertical="center"/>
    </xf>
    <xf numFmtId="0" fontId="8" fillId="0" borderId="0" xfId="0" applyFont="1" applyFill="1">
      <alignment vertical="center"/>
    </xf>
    <xf numFmtId="0" fontId="9" fillId="0" borderId="0" xfId="0" applyFont="1" applyFill="1" applyAlignment="1">
      <alignment horizontal="left" vertical="center"/>
    </xf>
    <xf numFmtId="0" fontId="10"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0" borderId="0" xfId="0" applyNumberFormat="1" applyFont="1" applyFill="1" applyAlignment="1">
      <alignment horizontal="left" vertical="center"/>
    </xf>
    <xf numFmtId="0" fontId="16"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AppData\Local\Temp\360zip$Temp\360$0\36.&#21335;&#20805;&#24066;&#21307;&#30103;&#26381;&#21153;&#20215;&#26684;&#25104;&#26412;&#27979;&#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ENOVO\AppData\Local\Temp\360zip$Temp\360$0\37.&#21335;&#20805;&#24066;&#21307;&#30103;&#26381;&#21153;&#20215;&#26684;&#25104;&#26412;&#27979;&#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ENOVO\AppData\Local\Temp\360zip$Temp\360$0\39.&#21335;&#20805;&#24066;&#21307;&#30103;&#26381;&#21153;&#20215;&#26684;&#25104;&#26412;&#27979;&#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ENOVO\AppData\Local\Temp\360zip$Temp\360$0\40.&#21335;&#20805;&#24066;&#21307;&#30103;&#26381;&#21153;&#20215;&#26684;&#25104;&#26412;&#27979;&#316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LENOVO\AppData\Local\Temp\360zip$Temp\360$0\41.&#21335;&#20805;&#24066;&#21307;&#30103;&#26381;&#21153;&#20215;&#26684;&#25104;&#26412;&#27979;&#316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LENOVO\AppData\Local\Temp\360zip$Temp\360$0\42.&#21335;&#20805;&#24066;&#21307;&#30103;&#26381;&#21153;&#20215;&#26684;&#25104;&#26412;&#27979;&#31639;&#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ENOVO\AppData\Local\Temp\360zip$Temp\360$0\43.&#21335;&#20805;&#24066;&#21307;&#30103;&#26381;&#21153;&#20215;&#26684;&#25104;&#26412;&#27979;&#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LENOVO\AppData\Local\Temp\360zip$Temp\360$0\44.&#21335;&#20805;&#24066;&#21307;&#30103;&#26381;&#21153;&#20215;&#26684;&#25104;&#26412;&#27979;&#316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LENOVO\AppData\Local\Temp\360zip$Temp\360$0\45.&#21335;&#20805;&#24066;&#21307;&#30103;&#26381;&#21153;&#20215;&#26684;&#25104;&#26412;&#27979;&#31639;&#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LENOVO\AppData\Local\Temp\360zip$Temp\360$0\47.&#21335;&#20805;&#24066;&#21307;&#30103;&#26381;&#21153;&#20215;&#26684;&#25104;&#26412;&#27979;&#31639;&#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LENOVO\AppData\Local\Temp\360zip$Temp\360$0\48.&#21335;&#20805;&#24066;&#21307;&#30103;&#26381;&#21153;&#20215;&#26684;&#25104;&#26412;&#27979;&#31639;&#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LENOVO\AppData\Local\Temp\360zip$Temp\360$0\49.&#21335;&#20805;&#24066;&#21307;&#30103;&#26381;&#21153;&#20215;&#26684;&#25104;&#26412;&#27979;&#31639;&#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LENOVO\AppData\Local\Temp\360zip$Temp\360$0\50.&#21335;&#20805;&#24066;&#21307;&#30103;&#26381;&#21153;&#20215;&#26684;&#25104;&#26412;&#27979;&#3163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LENOVO\AppData\Local\Temp\360zip$Temp\360$0\4.&#21335;&#20805;&#24066;&#21307;&#30103;&#26381;&#21153;&#20215;&#26684;&#25104;&#26412;&#27979;&#31639;&#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ENOVO\AppData\Local\Temp\360zip$Temp\360$0\3.&#21335;&#20805;&#24066;&#21307;&#30103;&#26381;&#21153;&#20215;&#26684;&#25104;&#26412;&#27979;&#31639;&#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LENOVO\AppData\Local\Temp\360zip$Temp\360$0\8.&#21335;&#20805;&#24066;&#21307;&#30103;&#26381;&#21153;&#20215;&#26684;&#25104;&#26412;&#27979;&#31639;&#349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LENOVO\AppData\Local\Temp\360zip$Temp\360$0\9.&#21335;&#20805;&#24066;&#21307;&#30103;&#26381;&#21153;&#20215;&#26684;&#25104;&#26412;&#27979;&#31639;&#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LENOVO\AppData\Local\Temp\360zip$Temp\360$0\10.&#21335;&#20805;&#24066;&#21307;&#30103;&#26381;&#21153;&#20215;&#26684;&#25104;&#26412;&#27979;&#31639;&#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LENOVO\AppData\Local\Temp\360zip$Temp\360$0\11.&#21335;&#20805;&#24066;&#21307;&#30103;&#26381;&#21153;&#20215;&#26684;&#25104;&#26412;&#27979;&#31639;&#349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LENOVO\AppData\Local\Temp\360zip$Temp\360$0\13.&#21335;&#20805;&#24066;&#21307;&#30103;&#26381;&#21153;&#20215;&#26684;&#25104;&#26412;&#27979;&#31639;&#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LENOVO\AppData\Local\Temp\360zip$Temp\360$0\14.&#21335;&#20805;&#24066;&#21307;&#30103;&#26381;&#21153;&#20215;&#26684;&#25104;&#26412;&#27979;&#3163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LENOVO\AppData\Local\Temp\360zip$Temp\360$0\15.&#21335;&#20805;&#24066;&#21307;&#30103;&#26381;&#21153;&#20215;&#26684;&#25104;&#26412;&#27979;&#31639;&#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ENOVO\AppData\Local\Temp\360zip$Temp\360$0\16.&#21335;&#20805;&#24066;&#21307;&#30103;&#26381;&#21153;&#20215;&#26684;&#25104;&#26412;&#27979;&#31639;&#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LENOVO\AppData\Local\Temp\360zip$Temp\360$0\17.&#21335;&#20805;&#24066;&#21307;&#30103;&#26381;&#21153;&#20215;&#26684;&#25104;&#26412;&#27979;&#31639;&#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LENOVO\AppData\Local\Temp\360zip$Temp\360$0\18.&#21335;&#20805;&#24066;&#21307;&#30103;&#26381;&#21153;&#20215;&#26684;&#25104;&#26412;&#27979;&#31639;&#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LENOVO\AppData\Local\Temp\360zip$Temp\360$0\19.&#21335;&#20805;&#24066;&#21307;&#30103;&#26381;&#21153;&#20215;&#26684;&#25104;&#26412;&#27979;&#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LENOVO\AppData\Local\Temp\360zip$Temp\360$0\20.&#21335;&#20805;&#24066;&#21307;&#30103;&#26381;&#21153;&#20215;&#26684;&#25104;&#26412;&#27979;&#31639;&#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LENOVO\AppData\Local\Temp\360zip$Temp\360$0\22.&#21335;&#20805;&#24066;&#21307;&#30103;&#26381;&#21153;&#20215;&#26684;&#25104;&#26412;&#27979;&#31639;&#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LENOVO\AppData\Local\Temp\360zip$Temp\360$0\23.&#21335;&#20805;&#24066;&#21307;&#30103;&#26381;&#21153;&#20215;&#26684;&#25104;&#26412;&#27979;&#3163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LENOVO\AppData\Local\Temp\360zip$Temp\360$0\25.&#21335;&#20805;&#24066;&#21307;&#30103;&#26381;&#21153;&#20215;&#26684;&#25104;&#26412;&#27979;&#31639;&#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Users\LENOVO\AppData\Local\Temp\360zip$Temp\360$0\26.&#21335;&#20805;&#24066;&#21307;&#30103;&#26381;&#21153;&#20215;&#26684;&#25104;&#26412;&#27979;&#31639;&#34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Users\LENOVO\AppData\Local\Temp\360zip$Temp\360$0\27.&#21335;&#20805;&#24066;&#21307;&#30103;&#26381;&#21153;&#20215;&#26684;&#25104;&#26412;&#27979;&#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Users\LENOVO\AppData\Local\Temp\360zip$Temp\360$0\28.&#21335;&#20805;&#24066;&#21307;&#30103;&#26381;&#21153;&#20215;&#26684;&#25104;&#26412;&#27979;&#31639;&#34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Users\LENOVO\AppData\Local\Temp\360zip$Temp\360$0\29.&#21335;&#20805;&#24066;&#21307;&#30103;&#26381;&#21153;&#20215;&#26684;&#25104;&#26412;&#27979;&#31639;&#349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ers\LENOVO\AppData\Local\Temp\360zip$Temp\360$0\31.&#21335;&#20805;&#24066;&#21307;&#30103;&#26381;&#21153;&#20215;&#26684;&#25104;&#26412;&#27979;&#31639;&#349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Users\LENOVO\AppData\Local\Temp\360zip$Temp\360$0\33.&#21335;&#20805;&#24066;&#21307;&#30103;&#26381;&#21153;&#20215;&#26684;&#25104;&#26412;&#27979;&#31639;&#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LENOVO\AppData\Local\Temp\360zip$Temp\360$0\6.&#21335;&#20805;&#24066;&#21307;&#30103;&#26381;&#21153;&#20215;&#26684;&#25104;&#26412;&#27979;&#31639;&#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LENOVO\AppData\Local\Temp\360zip$Temp\360$0\7.&#21335;&#20805;&#24066;&#21307;&#30103;&#26381;&#21153;&#20215;&#26684;&#25104;&#26412;&#27979;&#31639;&#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LENOVO\AppData\Local\Temp\360zip$Temp\360$0\2.&#21335;&#20805;&#24066;&#21307;&#30103;&#26381;&#21153;&#20215;&#26684;&#25104;&#26412;&#27979;&#31639;&#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LENOVO\AppData\Local\Temp\360zip$Temp\360$0\1.&#21335;&#20805;&#24066;&#21307;&#30103;&#26381;&#21153;&#20215;&#26684;&#25104;&#26412;&#27979;&#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60">
          <cell r="H60">
            <v>3359.78</v>
          </cell>
        </row>
      </sheetData>
      <sheetData sheetId="1" refreshError="1">
        <row r="7">
          <cell r="B7">
            <v>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1000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30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30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30</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30</v>
          </cell>
        </row>
      </sheetData>
      <sheetData sheetId="1" refreshError="1">
        <row r="65">
          <cell r="H65">
            <v>2497.28</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600</v>
          </cell>
        </row>
      </sheetData>
      <sheetData sheetId="1" refreshError="1">
        <row r="59">
          <cell r="H59">
            <v>50.84</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1000</v>
          </cell>
        </row>
      </sheetData>
      <sheetData sheetId="1" refreshError="1">
        <row r="61">
          <cell r="H61">
            <v>26.06</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57">
          <cell r="H57">
            <v>212.83</v>
          </cell>
        </row>
      </sheetData>
      <sheetData sheetId="1" refreshError="1">
        <row r="7">
          <cell r="B7">
            <v>1000</v>
          </cell>
        </row>
        <row r="64">
          <cell r="H64">
            <v>137.29</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v>
          </cell>
        </row>
      </sheetData>
      <sheetData sheetId="1" refreshError="1">
        <row r="64">
          <cell r="H64">
            <v>1091.33</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51">
          <cell r="H51">
            <v>82.73</v>
          </cell>
        </row>
      </sheetData>
      <sheetData sheetId="1" refreshError="1">
        <row r="7">
          <cell r="B7">
            <v>300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 val="Sheet1"/>
    </sheetNames>
    <sheetDataSet>
      <sheetData sheetId="0" refreshError="1">
        <row r="7">
          <cell r="B7">
            <v>2000</v>
          </cell>
        </row>
        <row r="52">
          <cell r="H52">
            <v>41.37</v>
          </cell>
        </row>
      </sheetData>
      <sheetData sheetId="1" refreshError="1">
        <row r="59">
          <cell r="H59">
            <v>25.9</v>
          </cell>
        </row>
      </sheetData>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350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50</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v>
          </cell>
        </row>
      </sheetData>
      <sheetData sheetId="1" refreshError="1">
        <row r="7">
          <cell r="B7">
            <v>100</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50</v>
          </cell>
        </row>
      </sheetData>
      <sheetData sheetId="1" refreshError="1">
        <row r="58">
          <cell r="H58">
            <v>1021.83</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10000</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200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200</v>
          </cell>
        </row>
      </sheetData>
      <sheetData sheetId="1" refreshError="1">
        <row r="67">
          <cell r="H67">
            <v>1138.08</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20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20</v>
          </cell>
        </row>
        <row r="62">
          <cell r="H62">
            <v>812.57</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50</v>
          </cell>
        </row>
      </sheetData>
      <sheetData sheetId="1" refreshError="1">
        <row r="66">
          <cell r="H66">
            <v>1825.85</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15</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50</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200</v>
          </cell>
        </row>
      </sheetData>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50</v>
          </cell>
        </row>
      </sheetData>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200</v>
          </cell>
        </row>
      </sheetData>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v>
          </cell>
        </row>
      </sheetData>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310</v>
          </cell>
        </row>
      </sheetData>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v>
          </cell>
        </row>
      </sheetData>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1000</v>
          </cell>
        </row>
      </sheetData>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600</v>
          </cell>
        </row>
      </sheetData>
      <sheetData sheetId="1" refreshError="1">
        <row r="54">
          <cell r="H54">
            <v>139.12</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sheetData sheetId="1" refreshError="1">
        <row r="7">
          <cell r="B7">
            <v>10</v>
          </cell>
        </row>
        <row r="60">
          <cell r="H60">
            <v>443.82</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70</v>
          </cell>
        </row>
        <row r="54">
          <cell r="H54">
            <v>570.14</v>
          </cell>
        </row>
      </sheetData>
      <sheetData sheetId="1" refreshError="1">
        <row r="61">
          <cell r="H61">
            <v>564.95</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南充市新增医疗服务价格项目成本测算表"/>
      <sheetName val="核定表"/>
    </sheetNames>
    <sheetDataSet>
      <sheetData sheetId="0" refreshError="1">
        <row r="7">
          <cell r="B7">
            <v>100</v>
          </cell>
        </row>
        <row r="55">
          <cell r="H55">
            <v>25.22</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3"/>
  <sheetViews>
    <sheetView tabSelected="1" zoomScale="115" zoomScaleNormal="115" workbookViewId="0">
      <pane ySplit="3" topLeftCell="A10" activePane="bottomLeft" state="frozen"/>
      <selection/>
      <selection pane="bottomLeft" activeCell="A2" sqref="A2:M2"/>
    </sheetView>
  </sheetViews>
  <sheetFormatPr defaultColWidth="9" defaultRowHeight="13.5"/>
  <cols>
    <col min="1" max="1" width="5" style="7" customWidth="1"/>
    <col min="2" max="2" width="14.25" style="7" customWidth="1"/>
    <col min="3" max="3" width="23.75" style="7" customWidth="1"/>
    <col min="4" max="4" width="38.5" style="7" customWidth="1"/>
    <col min="5" max="5" width="10.875" style="7" customWidth="1"/>
    <col min="6" max="6" width="6.51666666666667" style="7" customWidth="1"/>
    <col min="7" max="7" width="17.0583333333333" style="7" customWidth="1"/>
    <col min="8" max="8" width="15.75" style="7" customWidth="1"/>
    <col min="9" max="13" width="11.5166666666667" style="8" customWidth="1"/>
    <col min="14" max="14" width="9" style="7" hidden="1" customWidth="1"/>
    <col min="15" max="16" width="12.8" style="9" hidden="1" customWidth="1"/>
    <col min="17" max="17" width="12.2" style="9" hidden="1" customWidth="1"/>
    <col min="18" max="18" width="13.8" style="9" hidden="1" customWidth="1"/>
    <col min="19" max="19" width="14.8" style="10" hidden="1" customWidth="1"/>
    <col min="20" max="20" width="11.125" style="7" hidden="1" customWidth="1"/>
    <col min="21" max="16384" width="9" style="7"/>
  </cols>
  <sheetData>
    <row r="1" ht="23" customHeight="1" spans="1:19">
      <c r="A1" s="11" t="s">
        <v>0</v>
      </c>
      <c r="B1" s="11"/>
      <c r="C1" s="11"/>
      <c r="D1" s="11"/>
      <c r="E1" s="11"/>
      <c r="F1" s="11"/>
      <c r="G1" s="11"/>
      <c r="H1" s="11"/>
      <c r="I1" s="22"/>
      <c r="J1" s="11"/>
      <c r="K1" s="11"/>
      <c r="L1" s="11"/>
      <c r="M1" s="11"/>
      <c r="O1" s="23"/>
      <c r="P1" s="23"/>
      <c r="Q1" s="23"/>
      <c r="R1" s="23"/>
      <c r="S1" s="37"/>
    </row>
    <row r="2" s="1" customFormat="1" ht="27" spans="1:19">
      <c r="A2" s="12" t="s">
        <v>1</v>
      </c>
      <c r="B2" s="12"/>
      <c r="C2" s="12"/>
      <c r="D2" s="12"/>
      <c r="E2" s="12"/>
      <c r="F2" s="12"/>
      <c r="G2" s="12"/>
      <c r="H2" s="12"/>
      <c r="I2" s="24"/>
      <c r="J2" s="24"/>
      <c r="K2" s="24"/>
      <c r="L2" s="24"/>
      <c r="M2" s="24"/>
      <c r="O2" s="25"/>
      <c r="P2" s="25"/>
      <c r="Q2" s="25"/>
      <c r="R2" s="25"/>
      <c r="S2" s="38"/>
    </row>
    <row r="3" ht="30" customHeight="1" spans="1:20">
      <c r="A3" s="13" t="s">
        <v>2</v>
      </c>
      <c r="B3" s="13" t="s">
        <v>3</v>
      </c>
      <c r="C3" s="14" t="s">
        <v>4</v>
      </c>
      <c r="D3" s="14" t="s">
        <v>5</v>
      </c>
      <c r="E3" s="14" t="s">
        <v>6</v>
      </c>
      <c r="F3" s="14" t="s">
        <v>7</v>
      </c>
      <c r="G3" s="13" t="s">
        <v>8</v>
      </c>
      <c r="H3" s="13"/>
      <c r="I3" s="26" t="s">
        <v>9</v>
      </c>
      <c r="J3" s="14" t="s">
        <v>10</v>
      </c>
      <c r="K3" s="14" t="s">
        <v>11</v>
      </c>
      <c r="L3" s="14" t="s">
        <v>12</v>
      </c>
      <c r="M3" s="14" t="s">
        <v>13</v>
      </c>
      <c r="S3" s="39">
        <v>600</v>
      </c>
      <c r="T3" s="40" t="s">
        <v>14</v>
      </c>
    </row>
    <row r="4" s="2" customFormat="1" ht="91" customHeight="1" spans="1:19">
      <c r="A4" s="15">
        <v>1</v>
      </c>
      <c r="B4" s="15">
        <v>210300006</v>
      </c>
      <c r="C4" s="16" t="s">
        <v>15</v>
      </c>
      <c r="D4" s="16" t="s">
        <v>16</v>
      </c>
      <c r="E4" s="16" t="s">
        <v>17</v>
      </c>
      <c r="F4" s="16" t="s">
        <v>18</v>
      </c>
      <c r="G4" s="16" t="s">
        <v>19</v>
      </c>
      <c r="H4" s="16"/>
      <c r="I4" s="27">
        <v>1125</v>
      </c>
      <c r="J4" s="27">
        <f t="shared" ref="J4:J40" si="0">I4*0.92</f>
        <v>1035</v>
      </c>
      <c r="K4" s="27">
        <f t="shared" ref="K4:K40" si="1">J4*0.92</f>
        <v>952.2</v>
      </c>
      <c r="L4" s="27">
        <f t="shared" ref="L4:L40" si="2">K4*0.94</f>
        <v>895.068</v>
      </c>
      <c r="M4" s="27">
        <f t="shared" ref="M4:M40" si="3">L4*0.94</f>
        <v>841.36392</v>
      </c>
      <c r="O4" s="28" t="s">
        <v>20</v>
      </c>
      <c r="P4" s="28" t="s">
        <v>21</v>
      </c>
      <c r="Q4" s="28" t="s">
        <v>22</v>
      </c>
      <c r="R4" s="41" t="s">
        <v>23</v>
      </c>
      <c r="S4" s="39" t="s">
        <v>23</v>
      </c>
    </row>
    <row r="5" spans="1:19">
      <c r="A5" s="15">
        <v>2</v>
      </c>
      <c r="B5" s="15">
        <v>230200041</v>
      </c>
      <c r="C5" s="16" t="s">
        <v>24</v>
      </c>
      <c r="D5" s="15"/>
      <c r="E5" s="15"/>
      <c r="F5" s="16" t="s">
        <v>18</v>
      </c>
      <c r="G5" s="15"/>
      <c r="H5" s="15"/>
      <c r="I5" s="27">
        <v>217.5</v>
      </c>
      <c r="J5" s="27">
        <f t="shared" si="0"/>
        <v>200.1</v>
      </c>
      <c r="K5" s="27">
        <f t="shared" si="1"/>
        <v>184.092</v>
      </c>
      <c r="L5" s="27">
        <f t="shared" si="2"/>
        <v>173.04648</v>
      </c>
      <c r="M5" s="27">
        <f t="shared" si="3"/>
        <v>162.6636912</v>
      </c>
      <c r="O5" s="28">
        <f>[40]南充市新增医疗服务价格项目成本测算表!$B$7</f>
        <v>100</v>
      </c>
      <c r="P5" s="28">
        <f>[40]南充市新增医疗服务价格项目成本测算表!$H$55</f>
        <v>25.22</v>
      </c>
      <c r="Q5" s="29">
        <f>ROUND(O5*P5,2)</f>
        <v>2522</v>
      </c>
      <c r="R5" s="41" t="e">
        <f>#REF!*0.75</f>
        <v>#REF!</v>
      </c>
      <c r="S5" s="39">
        <v>15</v>
      </c>
    </row>
    <row r="6" spans="1:19">
      <c r="A6" s="15">
        <v>3</v>
      </c>
      <c r="B6" s="15">
        <v>230400007</v>
      </c>
      <c r="C6" s="16" t="s">
        <v>25</v>
      </c>
      <c r="D6" s="15"/>
      <c r="E6" s="15"/>
      <c r="F6" s="16" t="s">
        <v>18</v>
      </c>
      <c r="G6" s="15"/>
      <c r="H6" s="15"/>
      <c r="I6" s="27">
        <v>4500</v>
      </c>
      <c r="J6" s="27">
        <f t="shared" si="0"/>
        <v>4140</v>
      </c>
      <c r="K6" s="27">
        <f t="shared" si="1"/>
        <v>3808.8</v>
      </c>
      <c r="L6" s="27">
        <f t="shared" si="2"/>
        <v>3580.272</v>
      </c>
      <c r="M6" s="27">
        <f t="shared" si="3"/>
        <v>3365.45568</v>
      </c>
      <c r="O6" s="29">
        <f>[15]南充市新增医疗服务价格项目成本测算表!$B$7</f>
        <v>2000</v>
      </c>
      <c r="P6" s="29">
        <f>[15]南充市新增医疗服务价格项目成本测算表!$H$52</f>
        <v>41.37</v>
      </c>
      <c r="Q6" s="29">
        <f>ROUND(O6*P6,2)</f>
        <v>82740</v>
      </c>
      <c r="R6" s="42">
        <f>[15]核定表!$H$59</f>
        <v>25.9</v>
      </c>
      <c r="S6" s="43">
        <v>25.9</v>
      </c>
    </row>
    <row r="7" spans="1:19">
      <c r="A7" s="15">
        <v>4</v>
      </c>
      <c r="B7" s="15">
        <v>230600004</v>
      </c>
      <c r="C7" s="15" t="s">
        <v>26</v>
      </c>
      <c r="D7" s="15"/>
      <c r="E7" s="15"/>
      <c r="F7" s="16" t="s">
        <v>18</v>
      </c>
      <c r="G7" s="15"/>
      <c r="H7" s="15"/>
      <c r="I7" s="27">
        <v>795</v>
      </c>
      <c r="J7" s="27">
        <f t="shared" si="0"/>
        <v>731.4</v>
      </c>
      <c r="K7" s="27">
        <f t="shared" si="1"/>
        <v>672.888</v>
      </c>
      <c r="L7" s="27">
        <f t="shared" si="2"/>
        <v>632.51472</v>
      </c>
      <c r="M7" s="27">
        <f t="shared" si="3"/>
        <v>594.5638368</v>
      </c>
      <c r="O7" s="30">
        <f>[14]核定表!$B$7</f>
        <v>300</v>
      </c>
      <c r="P7" s="30">
        <f>[14]南充市新增医疗服务价格项目成本测算表!$H$51</f>
        <v>82.73</v>
      </c>
      <c r="Q7" s="29">
        <f>ROUND(O7*P7,2)</f>
        <v>24819</v>
      </c>
      <c r="R7" s="41" t="e">
        <f>#REF!*0.75</f>
        <v>#REF!</v>
      </c>
      <c r="S7" s="39">
        <v>60</v>
      </c>
    </row>
    <row r="8" spans="1:19">
      <c r="A8" s="15">
        <v>5</v>
      </c>
      <c r="B8" s="15">
        <v>230600005</v>
      </c>
      <c r="C8" s="15" t="s">
        <v>27</v>
      </c>
      <c r="D8" s="15"/>
      <c r="E8" s="15"/>
      <c r="F8" s="16" t="s">
        <v>18</v>
      </c>
      <c r="G8" s="15"/>
      <c r="H8" s="15"/>
      <c r="I8" s="27">
        <v>450</v>
      </c>
      <c r="J8" s="27">
        <f t="shared" si="0"/>
        <v>414</v>
      </c>
      <c r="K8" s="27">
        <f t="shared" si="1"/>
        <v>380.88</v>
      </c>
      <c r="L8" s="27">
        <f t="shared" si="2"/>
        <v>358.0272</v>
      </c>
      <c r="M8" s="27">
        <f t="shared" si="3"/>
        <v>336.545568</v>
      </c>
      <c r="O8" s="30">
        <f>[39]南充市新增医疗服务价格项目成本测算表!$B$7</f>
        <v>70</v>
      </c>
      <c r="P8" s="30">
        <f>[39]南充市新增医疗服务价格项目成本测算表!$H$54</f>
        <v>570.14</v>
      </c>
      <c r="Q8" s="29">
        <f>ROUND(O8*P8,2)</f>
        <v>39909.8</v>
      </c>
      <c r="R8" s="42">
        <f>[39]核定表!$H$61</f>
        <v>564.95</v>
      </c>
      <c r="S8" s="44">
        <v>564.95</v>
      </c>
    </row>
    <row r="9" customFormat="1" spans="1:19">
      <c r="A9" s="15">
        <v>6</v>
      </c>
      <c r="B9" s="15">
        <v>230600006</v>
      </c>
      <c r="C9" s="15" t="s">
        <v>28</v>
      </c>
      <c r="D9" s="15"/>
      <c r="E9" s="15"/>
      <c r="F9" s="16" t="s">
        <v>18</v>
      </c>
      <c r="G9" s="15"/>
      <c r="H9" s="15"/>
      <c r="I9" s="27">
        <v>262.5</v>
      </c>
      <c r="J9" s="27">
        <f t="shared" si="0"/>
        <v>241.5</v>
      </c>
      <c r="K9" s="27">
        <f t="shared" si="1"/>
        <v>222.18</v>
      </c>
      <c r="L9" s="27">
        <f t="shared" si="2"/>
        <v>208.8492</v>
      </c>
      <c r="M9" s="27">
        <f t="shared" si="3"/>
        <v>196.318248</v>
      </c>
      <c r="N9" s="7"/>
      <c r="O9" s="30"/>
      <c r="P9" s="30"/>
      <c r="Q9" s="29"/>
      <c r="R9" s="42"/>
      <c r="S9" s="44"/>
    </row>
    <row r="10" customFormat="1" spans="1:19">
      <c r="A10" s="15">
        <v>7</v>
      </c>
      <c r="B10" s="15">
        <v>230600007</v>
      </c>
      <c r="C10" s="15" t="s">
        <v>29</v>
      </c>
      <c r="D10" s="15"/>
      <c r="E10" s="15"/>
      <c r="F10" s="16" t="s">
        <v>18</v>
      </c>
      <c r="G10" s="15"/>
      <c r="H10" s="15"/>
      <c r="I10" s="27">
        <v>1350</v>
      </c>
      <c r="J10" s="27">
        <f t="shared" si="0"/>
        <v>1242</v>
      </c>
      <c r="K10" s="27">
        <f t="shared" si="1"/>
        <v>1142.64</v>
      </c>
      <c r="L10" s="27">
        <f t="shared" si="2"/>
        <v>1074.0816</v>
      </c>
      <c r="M10" s="27">
        <f t="shared" si="3"/>
        <v>1009.636704</v>
      </c>
      <c r="N10" s="7"/>
      <c r="O10" s="30"/>
      <c r="P10" s="30"/>
      <c r="Q10" s="29"/>
      <c r="R10" s="42"/>
      <c r="S10" s="44"/>
    </row>
    <row r="11" spans="1:19">
      <c r="A11" s="15">
        <v>8</v>
      </c>
      <c r="B11" s="15">
        <v>230600008</v>
      </c>
      <c r="C11" s="15" t="s">
        <v>30</v>
      </c>
      <c r="D11" s="15"/>
      <c r="E11" s="15"/>
      <c r="F11" s="16" t="s">
        <v>18</v>
      </c>
      <c r="G11" s="15"/>
      <c r="H11" s="15"/>
      <c r="I11" s="27">
        <v>1350</v>
      </c>
      <c r="J11" s="27">
        <f t="shared" si="0"/>
        <v>1242</v>
      </c>
      <c r="K11" s="27">
        <f t="shared" si="1"/>
        <v>1142.64</v>
      </c>
      <c r="L11" s="27">
        <f t="shared" si="2"/>
        <v>1074.0816</v>
      </c>
      <c r="M11" s="27">
        <f t="shared" si="3"/>
        <v>1009.636704</v>
      </c>
      <c r="O11" s="30">
        <f>[38]核定表!$B$7</f>
        <v>10</v>
      </c>
      <c r="P11" s="30">
        <v>448.28</v>
      </c>
      <c r="Q11" s="29">
        <f>ROUND(O11*P11,2)</f>
        <v>4482.8</v>
      </c>
      <c r="R11" s="42">
        <f>[38]核定表!$H$60</f>
        <v>443.82</v>
      </c>
      <c r="S11" s="44">
        <v>443.82</v>
      </c>
    </row>
    <row r="12" ht="25.5" spans="1:19">
      <c r="A12" s="15">
        <v>9</v>
      </c>
      <c r="B12" s="15">
        <v>250311006</v>
      </c>
      <c r="C12" s="16" t="s">
        <v>31</v>
      </c>
      <c r="D12" s="16" t="s">
        <v>32</v>
      </c>
      <c r="E12" s="15" t="s">
        <v>33</v>
      </c>
      <c r="F12" s="16" t="s">
        <v>34</v>
      </c>
      <c r="G12" s="15" t="s">
        <v>33</v>
      </c>
      <c r="H12" s="15"/>
      <c r="I12" s="27">
        <v>52.5</v>
      </c>
      <c r="J12" s="27">
        <f t="shared" si="0"/>
        <v>48.3</v>
      </c>
      <c r="K12" s="27">
        <f t="shared" si="1"/>
        <v>44.436</v>
      </c>
      <c r="L12" s="27">
        <f t="shared" si="2"/>
        <v>41.76984</v>
      </c>
      <c r="M12" s="27">
        <f t="shared" si="3"/>
        <v>39.2636496</v>
      </c>
      <c r="O12" s="30">
        <f>[37]南充市新增医疗服务价格项目成本测算表!$B$7</f>
        <v>600</v>
      </c>
      <c r="P12" s="30">
        <v>141.91</v>
      </c>
      <c r="Q12" s="29">
        <f>ROUND(O12*P12,2)</f>
        <v>85146</v>
      </c>
      <c r="R12" s="42">
        <f>[37]核定表!$H$54</f>
        <v>139.12</v>
      </c>
      <c r="S12" s="44">
        <v>98.25</v>
      </c>
    </row>
    <row r="13" s="3" customFormat="1" ht="89.25" spans="1:19">
      <c r="A13" s="15">
        <v>10</v>
      </c>
      <c r="B13" s="17">
        <v>250503020</v>
      </c>
      <c r="C13" s="17" t="s">
        <v>35</v>
      </c>
      <c r="D13" s="18" t="s">
        <v>36</v>
      </c>
      <c r="E13" s="17"/>
      <c r="F13" s="18" t="s">
        <v>18</v>
      </c>
      <c r="G13" s="17"/>
      <c r="H13" s="17"/>
      <c r="I13" s="31">
        <v>600</v>
      </c>
      <c r="J13" s="31">
        <f t="shared" si="0"/>
        <v>552</v>
      </c>
      <c r="K13" s="31">
        <f t="shared" si="1"/>
        <v>507.84</v>
      </c>
      <c r="L13" s="31">
        <f t="shared" si="2"/>
        <v>477.3696</v>
      </c>
      <c r="M13" s="31">
        <f t="shared" si="3"/>
        <v>448.727424</v>
      </c>
      <c r="N13" s="32"/>
      <c r="O13" s="30"/>
      <c r="P13" s="30"/>
      <c r="Q13" s="30"/>
      <c r="R13" s="45"/>
      <c r="S13" s="46">
        <v>2100</v>
      </c>
    </row>
    <row r="14" s="4" customFormat="1" ht="38.25" spans="1:19">
      <c r="A14" s="15">
        <v>11</v>
      </c>
      <c r="B14" s="15">
        <v>310100029</v>
      </c>
      <c r="C14" s="16" t="s">
        <v>37</v>
      </c>
      <c r="D14" s="16" t="s">
        <v>38</v>
      </c>
      <c r="E14" s="15"/>
      <c r="F14" s="16" t="s">
        <v>18</v>
      </c>
      <c r="G14" s="15"/>
      <c r="H14" s="15"/>
      <c r="I14" s="27">
        <v>300</v>
      </c>
      <c r="J14" s="27">
        <f t="shared" si="0"/>
        <v>276</v>
      </c>
      <c r="K14" s="27">
        <f t="shared" si="1"/>
        <v>253.92</v>
      </c>
      <c r="L14" s="27">
        <f t="shared" si="2"/>
        <v>238.6848</v>
      </c>
      <c r="M14" s="27">
        <f t="shared" si="3"/>
        <v>224.363712</v>
      </c>
      <c r="N14" s="7"/>
      <c r="O14" s="30">
        <f>[16]核定表!$B$7</f>
        <v>350</v>
      </c>
      <c r="P14" s="30">
        <v>168.72</v>
      </c>
      <c r="Q14" s="29">
        <f t="shared" ref="Q14:Q23" si="4">ROUND(O14*P14,2)</f>
        <v>59052</v>
      </c>
      <c r="R14" s="41" t="e">
        <f>#REF!*0.75</f>
        <v>#REF!</v>
      </c>
      <c r="S14" s="39">
        <v>944.25</v>
      </c>
    </row>
    <row r="15" ht="38.25" spans="1:19">
      <c r="A15" s="15">
        <v>12</v>
      </c>
      <c r="B15" s="15" t="s">
        <v>39</v>
      </c>
      <c r="C15" s="16" t="s">
        <v>40</v>
      </c>
      <c r="D15" s="15"/>
      <c r="E15" s="15"/>
      <c r="F15" s="16" t="s">
        <v>18</v>
      </c>
      <c r="G15" s="15"/>
      <c r="H15" s="15"/>
      <c r="I15" s="27">
        <v>300</v>
      </c>
      <c r="J15" s="27">
        <f t="shared" si="0"/>
        <v>276</v>
      </c>
      <c r="K15" s="27">
        <f t="shared" si="1"/>
        <v>253.92</v>
      </c>
      <c r="L15" s="27">
        <f t="shared" si="2"/>
        <v>238.6848</v>
      </c>
      <c r="M15" s="27">
        <f t="shared" si="3"/>
        <v>224.363712</v>
      </c>
      <c r="O15" s="30">
        <f>[3]核定表!$B$7</f>
        <v>1000</v>
      </c>
      <c r="P15" s="30">
        <v>502.44</v>
      </c>
      <c r="Q15" s="29">
        <f t="shared" si="4"/>
        <v>502440</v>
      </c>
      <c r="R15" s="41" t="e">
        <f>#REF!*0.75</f>
        <v>#REF!</v>
      </c>
      <c r="S15" s="39">
        <v>52.5</v>
      </c>
    </row>
    <row r="16" s="4" customFormat="1" ht="25.5" spans="1:19">
      <c r="A16" s="15">
        <v>13</v>
      </c>
      <c r="B16" s="15">
        <v>310100030</v>
      </c>
      <c r="C16" s="16" t="s">
        <v>41</v>
      </c>
      <c r="D16" s="16" t="s">
        <v>42</v>
      </c>
      <c r="E16" s="15"/>
      <c r="F16" s="16" t="s">
        <v>18</v>
      </c>
      <c r="G16" s="15"/>
      <c r="H16" s="15"/>
      <c r="I16" s="27">
        <v>281.25</v>
      </c>
      <c r="J16" s="27">
        <f t="shared" si="0"/>
        <v>258.75</v>
      </c>
      <c r="K16" s="27">
        <f t="shared" si="1"/>
        <v>238.05</v>
      </c>
      <c r="L16" s="27">
        <f t="shared" si="2"/>
        <v>223.767</v>
      </c>
      <c r="M16" s="27">
        <f t="shared" si="3"/>
        <v>210.34098</v>
      </c>
      <c r="N16" s="7"/>
      <c r="O16" s="30">
        <f>[17]核定表!$B$7</f>
        <v>50</v>
      </c>
      <c r="P16" s="30">
        <v>2904.9</v>
      </c>
      <c r="Q16" s="29">
        <f t="shared" si="4"/>
        <v>145245</v>
      </c>
      <c r="R16" s="41" t="e">
        <f>#REF!*0.75</f>
        <v>#REF!</v>
      </c>
      <c r="S16" s="39">
        <v>300</v>
      </c>
    </row>
    <row r="17" ht="25.5" spans="1:19">
      <c r="A17" s="15">
        <v>14</v>
      </c>
      <c r="B17" s="15">
        <v>310206006</v>
      </c>
      <c r="C17" s="16" t="s">
        <v>43</v>
      </c>
      <c r="D17" s="16" t="s">
        <v>44</v>
      </c>
      <c r="E17" s="15"/>
      <c r="F17" s="16" t="s">
        <v>45</v>
      </c>
      <c r="G17" s="15"/>
      <c r="H17" s="15"/>
      <c r="I17" s="27">
        <v>26.25</v>
      </c>
      <c r="J17" s="27">
        <f t="shared" si="0"/>
        <v>24.15</v>
      </c>
      <c r="K17" s="27">
        <f t="shared" si="1"/>
        <v>22.218</v>
      </c>
      <c r="L17" s="27">
        <f t="shared" si="2"/>
        <v>20.88492</v>
      </c>
      <c r="M17" s="27">
        <f t="shared" si="3"/>
        <v>19.6318248</v>
      </c>
      <c r="O17" s="33">
        <f>[18]核定表!$B$7</f>
        <v>10</v>
      </c>
      <c r="P17" s="30">
        <v>1260.86</v>
      </c>
      <c r="Q17" s="29">
        <f t="shared" si="4"/>
        <v>12608.6</v>
      </c>
      <c r="R17" s="41" t="e">
        <f>#REF!*0.75</f>
        <v>#REF!</v>
      </c>
      <c r="S17" s="39"/>
    </row>
    <row r="18" s="5" customFormat="1" spans="1:19">
      <c r="A18" s="15">
        <v>15</v>
      </c>
      <c r="B18" s="19">
        <v>310701013</v>
      </c>
      <c r="C18" s="20" t="s">
        <v>46</v>
      </c>
      <c r="D18" s="19"/>
      <c r="E18" s="19"/>
      <c r="F18" s="20" t="s">
        <v>18</v>
      </c>
      <c r="G18" s="19"/>
      <c r="H18" s="19"/>
      <c r="I18" s="31">
        <v>26.9</v>
      </c>
      <c r="J18" s="31">
        <f t="shared" si="0"/>
        <v>24.748</v>
      </c>
      <c r="K18" s="31">
        <f t="shared" si="1"/>
        <v>22.76816</v>
      </c>
      <c r="L18" s="31">
        <f t="shared" si="2"/>
        <v>21.4020704</v>
      </c>
      <c r="M18" s="31">
        <f t="shared" si="3"/>
        <v>20.117946176</v>
      </c>
      <c r="O18" s="30">
        <f>[19]南充市新增医疗服务价格项目成本测算表!$B$7</f>
        <v>100</v>
      </c>
      <c r="P18" s="30">
        <v>491.48</v>
      </c>
      <c r="Q18" s="30">
        <f t="shared" si="4"/>
        <v>49148</v>
      </c>
      <c r="R18" s="30" t="e">
        <f>#REF!*0.75</f>
        <v>#REF!</v>
      </c>
      <c r="S18" s="46">
        <v>281.25</v>
      </c>
    </row>
    <row r="19" s="5" customFormat="1" ht="24.75" spans="1:19">
      <c r="A19" s="15">
        <v>16</v>
      </c>
      <c r="B19" s="19">
        <v>311100017</v>
      </c>
      <c r="C19" s="19" t="s">
        <v>47</v>
      </c>
      <c r="D19" s="19" t="s">
        <v>48</v>
      </c>
      <c r="E19" s="19" t="s">
        <v>49</v>
      </c>
      <c r="F19" s="20" t="s">
        <v>18</v>
      </c>
      <c r="G19" s="21" t="s">
        <v>50</v>
      </c>
      <c r="H19" s="19"/>
      <c r="I19" s="31">
        <v>60</v>
      </c>
      <c r="J19" s="31">
        <f t="shared" si="0"/>
        <v>55.2</v>
      </c>
      <c r="K19" s="31">
        <f t="shared" si="1"/>
        <v>50.784</v>
      </c>
      <c r="L19" s="31">
        <f t="shared" si="2"/>
        <v>47.73696</v>
      </c>
      <c r="M19" s="31">
        <f t="shared" si="3"/>
        <v>44.8727424</v>
      </c>
      <c r="N19" s="32"/>
      <c r="O19" s="30">
        <f>[19]核定表!$B$7</f>
        <v>100</v>
      </c>
      <c r="P19" s="30">
        <v>418.12</v>
      </c>
      <c r="Q19" s="30">
        <f t="shared" si="4"/>
        <v>41812</v>
      </c>
      <c r="R19" s="30" t="e">
        <f>#REF!*0.75</f>
        <v>#REF!</v>
      </c>
      <c r="S19" s="47">
        <v>1021.83</v>
      </c>
    </row>
    <row r="20" s="5" customFormat="1" spans="1:19">
      <c r="A20" s="15">
        <v>17</v>
      </c>
      <c r="B20" s="19" t="s">
        <v>51</v>
      </c>
      <c r="C20" s="19" t="s">
        <v>52</v>
      </c>
      <c r="D20" s="19"/>
      <c r="E20" s="19"/>
      <c r="F20" s="20" t="s">
        <v>18</v>
      </c>
      <c r="G20" s="19"/>
      <c r="H20" s="19"/>
      <c r="I20" s="31">
        <v>30</v>
      </c>
      <c r="J20" s="31">
        <v>30</v>
      </c>
      <c r="K20" s="31">
        <v>30</v>
      </c>
      <c r="L20" s="31">
        <v>30</v>
      </c>
      <c r="M20" s="31">
        <v>30</v>
      </c>
      <c r="N20" s="32"/>
      <c r="O20" s="30"/>
      <c r="P20" s="30"/>
      <c r="Q20" s="30"/>
      <c r="R20" s="30"/>
      <c r="S20" s="47"/>
    </row>
    <row r="21" s="5" customFormat="1" ht="24" spans="1:19">
      <c r="A21" s="15">
        <v>18</v>
      </c>
      <c r="B21" s="19" t="s">
        <v>53</v>
      </c>
      <c r="C21" s="19" t="s">
        <v>54</v>
      </c>
      <c r="D21" s="19"/>
      <c r="E21" s="19"/>
      <c r="F21" s="20" t="s">
        <v>18</v>
      </c>
      <c r="G21" s="19"/>
      <c r="H21" s="19"/>
      <c r="I21" s="31">
        <v>30</v>
      </c>
      <c r="J21" s="31">
        <v>30</v>
      </c>
      <c r="K21" s="31">
        <v>30</v>
      </c>
      <c r="L21" s="31">
        <v>30</v>
      </c>
      <c r="M21" s="31">
        <v>30</v>
      </c>
      <c r="N21" s="32"/>
      <c r="O21" s="30"/>
      <c r="P21" s="30"/>
      <c r="Q21" s="30"/>
      <c r="R21" s="30"/>
      <c r="S21" s="47"/>
    </row>
    <row r="22" s="5" customFormat="1" ht="38.25" spans="1:19">
      <c r="A22" s="15">
        <v>19</v>
      </c>
      <c r="B22" s="19">
        <v>311201066</v>
      </c>
      <c r="C22" s="20" t="s">
        <v>55</v>
      </c>
      <c r="D22" s="20" t="s">
        <v>56</v>
      </c>
      <c r="E22" s="19"/>
      <c r="F22" s="20" t="s">
        <v>18</v>
      </c>
      <c r="G22" s="19"/>
      <c r="H22" s="19"/>
      <c r="I22" s="31">
        <v>675</v>
      </c>
      <c r="J22" s="31">
        <f t="shared" si="0"/>
        <v>621</v>
      </c>
      <c r="K22" s="31">
        <f t="shared" si="1"/>
        <v>571.32</v>
      </c>
      <c r="L22" s="31">
        <f t="shared" si="2"/>
        <v>537.0408</v>
      </c>
      <c r="M22" s="31">
        <f t="shared" si="3"/>
        <v>504.818352</v>
      </c>
      <c r="O22" s="30">
        <f>[20]南充市新增医疗服务价格项目成本测算表!$B$7</f>
        <v>50</v>
      </c>
      <c r="P22" s="30">
        <v>1437.64</v>
      </c>
      <c r="Q22" s="30">
        <f t="shared" ref="Q22:Q25" si="5">ROUND(O22*P22,2)</f>
        <v>71882</v>
      </c>
      <c r="R22" s="45">
        <f>[20]核定表!$H$58</f>
        <v>1021.83</v>
      </c>
      <c r="S22" s="46">
        <v>1125</v>
      </c>
    </row>
    <row r="23" s="4" customFormat="1" ht="38.25" spans="1:19">
      <c r="A23" s="15">
        <v>20</v>
      </c>
      <c r="B23" s="15">
        <v>330100031</v>
      </c>
      <c r="C23" s="15" t="s">
        <v>57</v>
      </c>
      <c r="D23" s="15" t="s">
        <v>58</v>
      </c>
      <c r="E23" s="15" t="s">
        <v>59</v>
      </c>
      <c r="F23" s="15" t="s">
        <v>60</v>
      </c>
      <c r="G23" s="15" t="s">
        <v>61</v>
      </c>
      <c r="H23" s="15"/>
      <c r="I23" s="34">
        <v>75</v>
      </c>
      <c r="J23" s="34">
        <f t="shared" si="0"/>
        <v>69</v>
      </c>
      <c r="K23" s="34">
        <f t="shared" si="1"/>
        <v>63.48</v>
      </c>
      <c r="L23" s="34">
        <f t="shared" si="2"/>
        <v>59.6712</v>
      </c>
      <c r="M23" s="34">
        <f t="shared" si="3"/>
        <v>56.090928</v>
      </c>
      <c r="N23" s="7"/>
      <c r="O23" s="30">
        <f>[21]核定表!$B$7</f>
        <v>10000</v>
      </c>
      <c r="P23" s="30">
        <v>1585.32</v>
      </c>
      <c r="Q23" s="29">
        <f t="shared" si="5"/>
        <v>15853200</v>
      </c>
      <c r="R23" s="41" t="e">
        <f>#REF!*0.75</f>
        <v>#REF!</v>
      </c>
      <c r="S23" s="39">
        <v>1453.5</v>
      </c>
    </row>
    <row r="24" s="4" customFormat="1" ht="25.5" spans="1:19">
      <c r="A24" s="15">
        <v>21</v>
      </c>
      <c r="B24" s="15" t="s">
        <v>62</v>
      </c>
      <c r="C24" s="15" t="s">
        <v>63</v>
      </c>
      <c r="D24" s="15"/>
      <c r="E24" s="15"/>
      <c r="F24" s="15" t="s">
        <v>64</v>
      </c>
      <c r="G24" s="15" t="s">
        <v>65</v>
      </c>
      <c r="H24" s="15"/>
      <c r="I24" s="34">
        <v>22.5</v>
      </c>
      <c r="J24" s="34">
        <f t="shared" si="0"/>
        <v>20.7</v>
      </c>
      <c r="K24" s="34">
        <f t="shared" si="1"/>
        <v>19.044</v>
      </c>
      <c r="L24" s="34">
        <f t="shared" si="2"/>
        <v>17.90136</v>
      </c>
      <c r="M24" s="34">
        <f t="shared" si="3"/>
        <v>16.8272784</v>
      </c>
      <c r="N24" s="7"/>
      <c r="O24" s="30">
        <f>[4]南充市新增医疗服务价格项目成本测算表!$B$7</f>
        <v>10</v>
      </c>
      <c r="P24" s="30">
        <v>5914.36</v>
      </c>
      <c r="Q24" s="29">
        <f t="shared" si="5"/>
        <v>59143.6</v>
      </c>
      <c r="R24" s="41" t="e">
        <f>#REF!*0.75</f>
        <v>#REF!</v>
      </c>
      <c r="S24" s="44">
        <v>218.25</v>
      </c>
    </row>
    <row r="25" s="6" customFormat="1" ht="15" spans="1:20">
      <c r="A25" s="15">
        <v>36</v>
      </c>
      <c r="B25" s="15">
        <v>331004034</v>
      </c>
      <c r="C25" s="16" t="s">
        <v>66</v>
      </c>
      <c r="D25" s="16" t="s">
        <v>67</v>
      </c>
      <c r="E25" s="15"/>
      <c r="F25" s="16" t="s">
        <v>18</v>
      </c>
      <c r="G25" s="15"/>
      <c r="H25" s="15"/>
      <c r="I25" s="27">
        <v>884.25</v>
      </c>
      <c r="J25" s="27">
        <f t="shared" si="0"/>
        <v>813.51</v>
      </c>
      <c r="K25" s="27">
        <f t="shared" si="1"/>
        <v>748.4292</v>
      </c>
      <c r="L25" s="27">
        <f t="shared" si="2"/>
        <v>703.523448</v>
      </c>
      <c r="M25" s="27">
        <f t="shared" si="3"/>
        <v>661.31204112</v>
      </c>
      <c r="N25" s="7"/>
      <c r="O25" s="30" t="e">
        <f>[35]南充市新增医疗服务价格项目成本测算表!$B$7</f>
        <v>#REF!</v>
      </c>
      <c r="P25" s="30">
        <v>3.54</v>
      </c>
      <c r="Q25" s="29" t="e">
        <f t="shared" si="5"/>
        <v>#REF!</v>
      </c>
      <c r="R25" s="41" t="e">
        <f>#REF!*0.75</f>
        <v>#REF!</v>
      </c>
      <c r="S25" s="39">
        <v>2.25</v>
      </c>
      <c r="T25" s="7"/>
    </row>
    <row r="26" spans="1:19">
      <c r="A26" s="15">
        <v>22</v>
      </c>
      <c r="B26" s="15" t="s">
        <v>68</v>
      </c>
      <c r="C26" s="16" t="s">
        <v>69</v>
      </c>
      <c r="D26" s="15"/>
      <c r="E26" s="15"/>
      <c r="F26" s="16" t="s">
        <v>18</v>
      </c>
      <c r="G26" s="15"/>
      <c r="H26" s="15"/>
      <c r="I26" s="27">
        <v>884.25</v>
      </c>
      <c r="J26" s="27">
        <f t="shared" si="0"/>
        <v>813.51</v>
      </c>
      <c r="K26" s="27">
        <f t="shared" si="1"/>
        <v>748.4292</v>
      </c>
      <c r="L26" s="27">
        <f t="shared" si="2"/>
        <v>703.523448</v>
      </c>
      <c r="M26" s="27">
        <f t="shared" si="3"/>
        <v>661.31204112</v>
      </c>
      <c r="O26" s="30">
        <f>[5]核定表!$B$7</f>
        <v>10</v>
      </c>
      <c r="P26" s="30">
        <v>5914.36</v>
      </c>
      <c r="Q26" s="29">
        <f t="shared" ref="Q26:Q40" si="6">ROUND(O26*P26,2)</f>
        <v>59143.6</v>
      </c>
      <c r="R26" s="41" t="e">
        <f>#REF!*0.75</f>
        <v>#REF!</v>
      </c>
      <c r="S26" s="39">
        <v>75</v>
      </c>
    </row>
    <row r="27" spans="1:19">
      <c r="A27" s="15">
        <v>23</v>
      </c>
      <c r="B27" s="15">
        <v>330201028</v>
      </c>
      <c r="C27" s="16" t="s">
        <v>70</v>
      </c>
      <c r="D27" s="15" t="s">
        <v>33</v>
      </c>
      <c r="E27" s="15" t="s">
        <v>33</v>
      </c>
      <c r="F27" s="16" t="s">
        <v>18</v>
      </c>
      <c r="G27" s="15"/>
      <c r="H27" s="15"/>
      <c r="I27" s="27">
        <v>2316.75</v>
      </c>
      <c r="J27" s="27">
        <f t="shared" si="0"/>
        <v>2131.41</v>
      </c>
      <c r="K27" s="27">
        <f t="shared" si="1"/>
        <v>1960.8972</v>
      </c>
      <c r="L27" s="27">
        <f t="shared" si="2"/>
        <v>1843.243368</v>
      </c>
      <c r="M27" s="27">
        <f t="shared" si="3"/>
        <v>1732.64876592</v>
      </c>
      <c r="O27" s="30">
        <f>[22]核定表!$B$7</f>
        <v>200</v>
      </c>
      <c r="P27" s="30">
        <v>1666.93</v>
      </c>
      <c r="Q27" s="29">
        <f t="shared" si="6"/>
        <v>333386</v>
      </c>
      <c r="R27" s="41" t="e">
        <f>#REF!*0.75</f>
        <v>#REF!</v>
      </c>
      <c r="S27" s="44">
        <v>1497</v>
      </c>
    </row>
    <row r="28" spans="1:19">
      <c r="A28" s="15">
        <v>24</v>
      </c>
      <c r="B28" s="15">
        <v>330201030</v>
      </c>
      <c r="C28" s="16" t="s">
        <v>71</v>
      </c>
      <c r="D28" s="15" t="s">
        <v>33</v>
      </c>
      <c r="E28" s="15" t="s">
        <v>33</v>
      </c>
      <c r="F28" s="16" t="s">
        <v>18</v>
      </c>
      <c r="G28" s="15" t="s">
        <v>33</v>
      </c>
      <c r="H28" s="15"/>
      <c r="I28" s="27">
        <v>3220.5</v>
      </c>
      <c r="J28" s="27">
        <f t="shared" si="0"/>
        <v>2962.86</v>
      </c>
      <c r="K28" s="27">
        <f t="shared" si="1"/>
        <v>2725.8312</v>
      </c>
      <c r="L28" s="27">
        <f t="shared" si="2"/>
        <v>2562.281328</v>
      </c>
      <c r="M28" s="27">
        <f t="shared" si="3"/>
        <v>2408.54444832</v>
      </c>
      <c r="O28" s="30">
        <f>[23]南充市新增医疗服务价格项目成本测算表!$B$7</f>
        <v>200</v>
      </c>
      <c r="P28" s="30">
        <v>1738.98</v>
      </c>
      <c r="Q28" s="29">
        <f t="shared" si="6"/>
        <v>347796</v>
      </c>
      <c r="R28" s="42">
        <f>[23]核定表!$H$67</f>
        <v>1138.08</v>
      </c>
      <c r="S28" s="39">
        <v>918.75</v>
      </c>
    </row>
    <row r="29" spans="1:19">
      <c r="A29" s="15">
        <v>25</v>
      </c>
      <c r="B29" s="15">
        <v>330201042</v>
      </c>
      <c r="C29" s="16" t="s">
        <v>72</v>
      </c>
      <c r="D29" s="15" t="s">
        <v>33</v>
      </c>
      <c r="E29" s="15" t="s">
        <v>33</v>
      </c>
      <c r="F29" s="16" t="s">
        <v>18</v>
      </c>
      <c r="G29" s="15" t="s">
        <v>33</v>
      </c>
      <c r="H29" s="15"/>
      <c r="I29" s="27">
        <v>2041.5</v>
      </c>
      <c r="J29" s="27">
        <f t="shared" si="0"/>
        <v>1878.18</v>
      </c>
      <c r="K29" s="27">
        <f t="shared" si="1"/>
        <v>1727.9256</v>
      </c>
      <c r="L29" s="27">
        <f t="shared" si="2"/>
        <v>1624.250064</v>
      </c>
      <c r="M29" s="27">
        <f t="shared" si="3"/>
        <v>1526.79506016</v>
      </c>
      <c r="O29" s="30">
        <f>[24]核定表!$B$7</f>
        <v>20</v>
      </c>
      <c r="P29" s="30">
        <v>1272.76</v>
      </c>
      <c r="Q29" s="29">
        <f t="shared" si="6"/>
        <v>25455.2</v>
      </c>
      <c r="R29" s="41" t="e">
        <f>#REF!*0.75</f>
        <v>#REF!</v>
      </c>
      <c r="S29" s="44">
        <v>812.57</v>
      </c>
    </row>
    <row r="30" spans="1:19">
      <c r="A30" s="15">
        <v>26</v>
      </c>
      <c r="B30" s="15">
        <v>330201046</v>
      </c>
      <c r="C30" s="16" t="s">
        <v>73</v>
      </c>
      <c r="D30" s="15" t="s">
        <v>33</v>
      </c>
      <c r="E30" s="15" t="s">
        <v>33</v>
      </c>
      <c r="F30" s="16" t="s">
        <v>18</v>
      </c>
      <c r="G30" s="15" t="s">
        <v>33</v>
      </c>
      <c r="H30" s="15"/>
      <c r="I30" s="27">
        <v>1632.75</v>
      </c>
      <c r="J30" s="27">
        <f t="shared" si="0"/>
        <v>1502.13</v>
      </c>
      <c r="K30" s="27">
        <f t="shared" si="1"/>
        <v>1381.9596</v>
      </c>
      <c r="L30" s="27">
        <f t="shared" si="2"/>
        <v>1299.042024</v>
      </c>
      <c r="M30" s="27">
        <f t="shared" si="3"/>
        <v>1221.09950256</v>
      </c>
      <c r="O30" s="30">
        <f>[25]核定表!$B$7</f>
        <v>20</v>
      </c>
      <c r="P30" s="30">
        <v>1109.76</v>
      </c>
      <c r="Q30" s="29">
        <f t="shared" si="6"/>
        <v>22195.2</v>
      </c>
      <c r="R30" s="42">
        <f>[25]核定表!$H$62</f>
        <v>812.57</v>
      </c>
      <c r="S30" s="44">
        <v>1825.85</v>
      </c>
    </row>
    <row r="31" spans="1:19">
      <c r="A31" s="15">
        <v>27</v>
      </c>
      <c r="B31" s="15">
        <v>330201048</v>
      </c>
      <c r="C31" s="16" t="s">
        <v>74</v>
      </c>
      <c r="D31" s="15" t="s">
        <v>33</v>
      </c>
      <c r="E31" s="15" t="s">
        <v>33</v>
      </c>
      <c r="F31" s="16" t="s">
        <v>18</v>
      </c>
      <c r="G31" s="15" t="s">
        <v>33</v>
      </c>
      <c r="H31" s="15"/>
      <c r="I31" s="27">
        <v>1497</v>
      </c>
      <c r="J31" s="27">
        <f t="shared" si="0"/>
        <v>1377.24</v>
      </c>
      <c r="K31" s="27">
        <f t="shared" si="1"/>
        <v>1267.0608</v>
      </c>
      <c r="L31" s="27">
        <f t="shared" si="2"/>
        <v>1191.037152</v>
      </c>
      <c r="M31" s="27">
        <f t="shared" si="3"/>
        <v>1119.57492288</v>
      </c>
      <c r="O31" s="30">
        <f>[26]南充市新增医疗服务价格项目成本测算表!$B$7</f>
        <v>50</v>
      </c>
      <c r="P31" s="30">
        <v>1836.4</v>
      </c>
      <c r="Q31" s="29">
        <f t="shared" si="6"/>
        <v>91820</v>
      </c>
      <c r="R31" s="42">
        <f>[26]核定表!$H$66</f>
        <v>1825.85</v>
      </c>
      <c r="S31" s="39">
        <v>1350</v>
      </c>
    </row>
    <row r="32" spans="1:19">
      <c r="A32" s="15">
        <v>28</v>
      </c>
      <c r="B32" s="15">
        <v>330202012</v>
      </c>
      <c r="C32" s="16" t="s">
        <v>75</v>
      </c>
      <c r="D32" s="15"/>
      <c r="E32" s="15"/>
      <c r="F32" s="16" t="s">
        <v>18</v>
      </c>
      <c r="G32" s="15"/>
      <c r="H32" s="15"/>
      <c r="I32" s="27">
        <v>1453.5</v>
      </c>
      <c r="J32" s="27">
        <f t="shared" si="0"/>
        <v>1337.22</v>
      </c>
      <c r="K32" s="27">
        <f t="shared" si="1"/>
        <v>1230.2424</v>
      </c>
      <c r="L32" s="27">
        <f t="shared" si="2"/>
        <v>1156.427856</v>
      </c>
      <c r="M32" s="27">
        <f t="shared" si="3"/>
        <v>1087.04218464</v>
      </c>
      <c r="O32" s="30">
        <f>[27]核定表!$B$7</f>
        <v>15</v>
      </c>
      <c r="P32" s="30">
        <v>2325.6</v>
      </c>
      <c r="Q32" s="29">
        <f t="shared" si="6"/>
        <v>34884</v>
      </c>
      <c r="R32" s="41" t="e">
        <f>#REF!*0.75</f>
        <v>#REF!</v>
      </c>
      <c r="S32" s="44">
        <v>4156.78</v>
      </c>
    </row>
    <row r="33" s="7" customFormat="1" spans="1:19">
      <c r="A33" s="15">
        <v>29</v>
      </c>
      <c r="B33" s="15">
        <v>330204018</v>
      </c>
      <c r="C33" s="16" t="s">
        <v>76</v>
      </c>
      <c r="D33" s="15"/>
      <c r="E33" s="15"/>
      <c r="F33" s="16" t="s">
        <v>18</v>
      </c>
      <c r="G33" s="15"/>
      <c r="H33" s="15"/>
      <c r="I33" s="27">
        <v>1080</v>
      </c>
      <c r="J33" s="27">
        <f t="shared" si="0"/>
        <v>993.6</v>
      </c>
      <c r="K33" s="27">
        <f t="shared" si="1"/>
        <v>914.112</v>
      </c>
      <c r="L33" s="27">
        <f t="shared" si="2"/>
        <v>859.26528</v>
      </c>
      <c r="M33" s="27">
        <f t="shared" si="3"/>
        <v>807.7093632</v>
      </c>
      <c r="O33" s="30">
        <f>[28]核定表!$B$7</f>
        <v>50</v>
      </c>
      <c r="P33" s="30">
        <v>1086.75</v>
      </c>
      <c r="Q33" s="29">
        <f t="shared" si="6"/>
        <v>54337.5</v>
      </c>
      <c r="R33" s="41" t="e">
        <f>#REF!*0.75</f>
        <v>#REF!</v>
      </c>
      <c r="S33" s="39">
        <v>450</v>
      </c>
    </row>
    <row r="34" spans="1:19">
      <c r="A34" s="15">
        <v>30</v>
      </c>
      <c r="B34" s="15">
        <v>330401014</v>
      </c>
      <c r="C34" s="16" t="s">
        <v>77</v>
      </c>
      <c r="D34" s="15"/>
      <c r="E34" s="15"/>
      <c r="F34" s="16" t="s">
        <v>78</v>
      </c>
      <c r="G34" s="15"/>
      <c r="H34" s="15"/>
      <c r="I34" s="27">
        <v>252.75</v>
      </c>
      <c r="J34" s="27">
        <f t="shared" si="0"/>
        <v>232.53</v>
      </c>
      <c r="K34" s="27">
        <f t="shared" si="1"/>
        <v>213.9276</v>
      </c>
      <c r="L34" s="27">
        <f t="shared" si="2"/>
        <v>201.091944</v>
      </c>
      <c r="M34" s="27">
        <f t="shared" si="3"/>
        <v>189.02642736</v>
      </c>
      <c r="O34" s="30">
        <f>[29]南充市新增医疗服务价格项目成本测算表!$B$7</f>
        <v>200</v>
      </c>
      <c r="P34" s="30">
        <v>558.76</v>
      </c>
      <c r="Q34" s="29">
        <f t="shared" si="6"/>
        <v>111752</v>
      </c>
      <c r="R34" s="41" t="e">
        <f>#REF!*0.75</f>
        <v>#REF!</v>
      </c>
      <c r="S34" s="39">
        <v>262.5</v>
      </c>
    </row>
    <row r="35" spans="1:19">
      <c r="A35" s="15">
        <v>31</v>
      </c>
      <c r="B35" s="15">
        <v>330408004</v>
      </c>
      <c r="C35" s="16" t="s">
        <v>79</v>
      </c>
      <c r="D35" s="15"/>
      <c r="E35" s="15"/>
      <c r="F35" s="16" t="s">
        <v>18</v>
      </c>
      <c r="G35" s="15"/>
      <c r="H35" s="15"/>
      <c r="I35" s="27">
        <v>635.25</v>
      </c>
      <c r="J35" s="27">
        <f t="shared" si="0"/>
        <v>584.43</v>
      </c>
      <c r="K35" s="27">
        <f t="shared" si="1"/>
        <v>537.6756</v>
      </c>
      <c r="L35" s="27">
        <f t="shared" si="2"/>
        <v>505.415064</v>
      </c>
      <c r="M35" s="27">
        <f t="shared" si="3"/>
        <v>475.09016016</v>
      </c>
      <c r="O35" s="30">
        <f>[30]南充市新增医疗服务价格项目成本测算表!$B$7</f>
        <v>50</v>
      </c>
      <c r="P35" s="30">
        <v>2336.51</v>
      </c>
      <c r="Q35" s="29">
        <f t="shared" si="6"/>
        <v>116825.5</v>
      </c>
      <c r="R35" s="41" t="e">
        <f>#REF!*0.75</f>
        <v>#REF!</v>
      </c>
      <c r="S35" s="39">
        <v>217.5</v>
      </c>
    </row>
    <row r="36" spans="1:19">
      <c r="A36" s="15">
        <v>32</v>
      </c>
      <c r="B36" s="15">
        <v>330502010</v>
      </c>
      <c r="C36" s="16" t="s">
        <v>80</v>
      </c>
      <c r="D36" s="15"/>
      <c r="E36" s="15"/>
      <c r="F36" s="16" t="s">
        <v>18</v>
      </c>
      <c r="G36" s="15"/>
      <c r="H36" s="15"/>
      <c r="I36" s="27">
        <v>1497</v>
      </c>
      <c r="J36" s="27">
        <f t="shared" si="0"/>
        <v>1377.24</v>
      </c>
      <c r="K36" s="27">
        <f t="shared" si="1"/>
        <v>1267.0608</v>
      </c>
      <c r="L36" s="27">
        <f t="shared" si="2"/>
        <v>1191.037152</v>
      </c>
      <c r="M36" s="27">
        <f t="shared" si="3"/>
        <v>1119.57492288</v>
      </c>
      <c r="O36" s="30">
        <f>[31]南充市新增医疗服务价格项目成本测算表!$B$7</f>
        <v>200</v>
      </c>
      <c r="P36" s="30">
        <v>378.52</v>
      </c>
      <c r="Q36" s="29">
        <f t="shared" si="6"/>
        <v>75704</v>
      </c>
      <c r="R36" s="41" t="e">
        <f>#REF!*0.75</f>
        <v>#REF!</v>
      </c>
      <c r="S36" s="39">
        <v>2241.75</v>
      </c>
    </row>
    <row r="37" spans="1:19">
      <c r="A37" s="15">
        <v>33</v>
      </c>
      <c r="B37" s="15">
        <v>330603006</v>
      </c>
      <c r="C37" s="16" t="s">
        <v>81</v>
      </c>
      <c r="D37" s="15"/>
      <c r="E37" s="15"/>
      <c r="F37" s="16" t="s">
        <v>18</v>
      </c>
      <c r="G37" s="15"/>
      <c r="H37" s="15"/>
      <c r="I37" s="27">
        <v>816.75</v>
      </c>
      <c r="J37" s="27">
        <f t="shared" si="0"/>
        <v>751.41</v>
      </c>
      <c r="K37" s="27">
        <f t="shared" si="1"/>
        <v>691.2972</v>
      </c>
      <c r="L37" s="27">
        <f t="shared" si="2"/>
        <v>649.819368</v>
      </c>
      <c r="M37" s="27">
        <f t="shared" si="3"/>
        <v>610.83020592</v>
      </c>
      <c r="O37" s="30">
        <f>[32]南充市新增医疗服务价格项目成本测算表!$B$7</f>
        <v>100</v>
      </c>
      <c r="P37" s="30">
        <v>2490.59</v>
      </c>
      <c r="Q37" s="29">
        <f t="shared" si="6"/>
        <v>249059</v>
      </c>
      <c r="R37" s="41" t="e">
        <f>#REF!*0.75</f>
        <v>#REF!</v>
      </c>
      <c r="S37" s="39">
        <v>252.75</v>
      </c>
    </row>
    <row r="38" spans="1:19">
      <c r="A38" s="15">
        <v>34</v>
      </c>
      <c r="B38" s="15">
        <v>330611007</v>
      </c>
      <c r="C38" s="16" t="s">
        <v>82</v>
      </c>
      <c r="D38" s="15"/>
      <c r="E38" s="15"/>
      <c r="F38" s="16" t="s">
        <v>18</v>
      </c>
      <c r="G38" s="15"/>
      <c r="H38" s="15"/>
      <c r="I38" s="27">
        <v>918.75</v>
      </c>
      <c r="J38" s="27">
        <f t="shared" si="0"/>
        <v>845.25</v>
      </c>
      <c r="K38" s="27">
        <f t="shared" si="1"/>
        <v>777.63</v>
      </c>
      <c r="L38" s="27">
        <f t="shared" si="2"/>
        <v>730.9722</v>
      </c>
      <c r="M38" s="27">
        <f t="shared" si="3"/>
        <v>687.113868</v>
      </c>
      <c r="O38" s="30">
        <f>[33]南充市新增医疗服务价格项目成本测算表!$B$7</f>
        <v>310</v>
      </c>
      <c r="P38" s="30">
        <v>453.47</v>
      </c>
      <c r="Q38" s="29">
        <f t="shared" si="6"/>
        <v>140575.7</v>
      </c>
      <c r="R38" s="41" t="e">
        <f>#REF!*0.75</f>
        <v>#REF!</v>
      </c>
      <c r="S38" s="39">
        <v>635.25</v>
      </c>
    </row>
    <row r="39" ht="25.5" spans="1:19">
      <c r="A39" s="15">
        <v>35</v>
      </c>
      <c r="B39" s="15">
        <v>330701008</v>
      </c>
      <c r="C39" s="16" t="s">
        <v>83</v>
      </c>
      <c r="D39" s="16" t="s">
        <v>84</v>
      </c>
      <c r="E39" s="15"/>
      <c r="F39" s="16" t="s">
        <v>18</v>
      </c>
      <c r="G39" s="15"/>
      <c r="H39" s="15"/>
      <c r="I39" s="27">
        <v>1929.42</v>
      </c>
      <c r="J39" s="27">
        <f t="shared" si="0"/>
        <v>1775.0664</v>
      </c>
      <c r="K39" s="27">
        <f t="shared" si="1"/>
        <v>1633.061088</v>
      </c>
      <c r="L39" s="27">
        <f t="shared" si="2"/>
        <v>1535.07742272</v>
      </c>
      <c r="M39" s="27">
        <f t="shared" si="3"/>
        <v>1442.9727773568</v>
      </c>
      <c r="O39" s="30">
        <f>[34]南充市新增医疗服务价格项目成本测算表!$B$7</f>
        <v>10</v>
      </c>
      <c r="P39" s="30">
        <v>897.49</v>
      </c>
      <c r="Q39" s="29">
        <f t="shared" si="6"/>
        <v>8974.9</v>
      </c>
      <c r="R39" s="41" t="e">
        <f>#REF!*0.75</f>
        <v>#REF!</v>
      </c>
      <c r="S39" s="39">
        <v>14.25</v>
      </c>
    </row>
    <row r="40" spans="1:19">
      <c r="A40" s="15">
        <v>36</v>
      </c>
      <c r="B40" s="15">
        <v>331004034</v>
      </c>
      <c r="C40" s="16" t="s">
        <v>66</v>
      </c>
      <c r="D40" s="16" t="s">
        <v>67</v>
      </c>
      <c r="E40" s="15"/>
      <c r="F40" s="16" t="s">
        <v>18</v>
      </c>
      <c r="G40" s="15"/>
      <c r="H40" s="15"/>
      <c r="I40" s="27">
        <v>884.25</v>
      </c>
      <c r="J40" s="27">
        <f t="shared" si="0"/>
        <v>813.51</v>
      </c>
      <c r="K40" s="27">
        <f t="shared" si="1"/>
        <v>748.4292</v>
      </c>
      <c r="L40" s="27">
        <f t="shared" si="2"/>
        <v>703.523448</v>
      </c>
      <c r="M40" s="27">
        <f t="shared" si="3"/>
        <v>661.31204112</v>
      </c>
      <c r="O40" s="30" t="e">
        <f>[35]南充市新增医疗服务价格项目成本测算表!$B$7</f>
        <v>#REF!</v>
      </c>
      <c r="P40" s="30">
        <v>3.54</v>
      </c>
      <c r="Q40" s="29" t="e">
        <f t="shared" si="6"/>
        <v>#REF!</v>
      </c>
      <c r="R40" s="41" t="e">
        <f>#REF!*0.75</f>
        <v>#REF!</v>
      </c>
      <c r="S40" s="39">
        <v>2.25</v>
      </c>
    </row>
    <row r="41" spans="1:19">
      <c r="A41" s="15">
        <v>37</v>
      </c>
      <c r="B41" s="15" t="s">
        <v>85</v>
      </c>
      <c r="C41" s="16" t="s">
        <v>86</v>
      </c>
      <c r="D41" s="15"/>
      <c r="E41" s="15"/>
      <c r="F41" s="16" t="s">
        <v>87</v>
      </c>
      <c r="G41" s="15"/>
      <c r="H41" s="15"/>
      <c r="I41" s="35">
        <v>2.3</v>
      </c>
      <c r="J41" s="35">
        <v>2.3</v>
      </c>
      <c r="K41" s="35">
        <v>2.3</v>
      </c>
      <c r="L41" s="35">
        <v>2.3</v>
      </c>
      <c r="M41" s="35">
        <v>2.3</v>
      </c>
      <c r="O41" s="30">
        <f>[6]核定表!$B$7</f>
        <v>30</v>
      </c>
      <c r="P41" s="30">
        <v>3640.07</v>
      </c>
      <c r="Q41" s="29">
        <f t="shared" ref="Q41:Q54" si="7">ROUND(O41*P41,2)</f>
        <v>109202.1</v>
      </c>
      <c r="R41" s="41" t="e">
        <f>#REF!*0.75</f>
        <v>#REF!</v>
      </c>
      <c r="S41" s="39"/>
    </row>
    <row r="42" spans="1:19">
      <c r="A42" s="15">
        <v>38</v>
      </c>
      <c r="B42" s="15" t="s">
        <v>88</v>
      </c>
      <c r="C42" s="16" t="s">
        <v>89</v>
      </c>
      <c r="D42" s="15"/>
      <c r="E42" s="15"/>
      <c r="F42" s="16" t="s">
        <v>87</v>
      </c>
      <c r="G42" s="15"/>
      <c r="H42" s="15"/>
      <c r="I42" s="35">
        <v>2.3</v>
      </c>
      <c r="J42" s="35">
        <v>2.3</v>
      </c>
      <c r="K42" s="35">
        <v>2.3</v>
      </c>
      <c r="L42" s="35">
        <v>2.3</v>
      </c>
      <c r="M42" s="35">
        <v>2.3</v>
      </c>
      <c r="O42" s="30">
        <f>[7]核定表!$B$7</f>
        <v>30</v>
      </c>
      <c r="P42" s="30">
        <v>3640.07</v>
      </c>
      <c r="Q42" s="29">
        <f t="shared" si="7"/>
        <v>109202.1</v>
      </c>
      <c r="R42" s="41" t="e">
        <f>#REF!*0.75</f>
        <v>#REF!</v>
      </c>
      <c r="S42" s="39">
        <v>2316.75</v>
      </c>
    </row>
    <row r="43" spans="1:19">
      <c r="A43" s="15">
        <v>39</v>
      </c>
      <c r="B43" s="15">
        <v>331602012</v>
      </c>
      <c r="C43" s="16" t="s">
        <v>90</v>
      </c>
      <c r="D43" s="15"/>
      <c r="E43" s="15"/>
      <c r="F43" s="16" t="s">
        <v>18</v>
      </c>
      <c r="G43" s="15"/>
      <c r="H43" s="15"/>
      <c r="I43" s="27">
        <v>443.82</v>
      </c>
      <c r="J43" s="27">
        <f>I43*0.92</f>
        <v>408.3144</v>
      </c>
      <c r="K43" s="27">
        <f>J43*0.92</f>
        <v>375.649248</v>
      </c>
      <c r="L43" s="27">
        <f>K43*0.94</f>
        <v>353.11029312</v>
      </c>
      <c r="M43" s="27">
        <f>L43*0.94</f>
        <v>331.9236755328</v>
      </c>
      <c r="N43" s="36"/>
      <c r="O43" s="30">
        <f>[36]南充市新增医疗服务价格项目成本测算表!$B$7</f>
        <v>1000</v>
      </c>
      <c r="P43" s="30">
        <v>48.47</v>
      </c>
      <c r="Q43" s="29">
        <f t="shared" si="7"/>
        <v>48470</v>
      </c>
      <c r="R43" s="41" t="e">
        <f>#REF!*0.75</f>
        <v>#REF!</v>
      </c>
      <c r="S43" s="39">
        <v>884.25</v>
      </c>
    </row>
    <row r="44" ht="25.5" spans="1:19">
      <c r="A44" s="15">
        <v>40</v>
      </c>
      <c r="B44" s="15">
        <v>340100005</v>
      </c>
      <c r="C44" s="16" t="s">
        <v>91</v>
      </c>
      <c r="D44" s="16" t="s">
        <v>92</v>
      </c>
      <c r="E44" s="15"/>
      <c r="F44" s="16" t="s">
        <v>93</v>
      </c>
      <c r="G44" s="15"/>
      <c r="H44" s="15"/>
      <c r="I44" s="27">
        <v>14</v>
      </c>
      <c r="J44" s="27">
        <f>I44*0.92</f>
        <v>12.88</v>
      </c>
      <c r="K44" s="27">
        <f>J44*0.92</f>
        <v>11.8496</v>
      </c>
      <c r="L44" s="27">
        <f>K44*0.94</f>
        <v>11.138624</v>
      </c>
      <c r="M44" s="27">
        <f>L44*0.94</f>
        <v>10.47030656</v>
      </c>
      <c r="O44" s="30">
        <f>[1]核定表!$B$7</f>
        <v>50</v>
      </c>
      <c r="P44" s="30">
        <f>[1]南充市新增医疗服务价格项目成本测算表!$H$60</f>
        <v>3359.78</v>
      </c>
      <c r="Q44" s="29">
        <f t="shared" si="7"/>
        <v>167989</v>
      </c>
      <c r="R44" s="41" t="e">
        <f>#REF!*0.75</f>
        <v>#REF!</v>
      </c>
      <c r="S44" s="39">
        <v>884.25</v>
      </c>
    </row>
    <row r="45" ht="25.5" spans="1:19">
      <c r="A45" s="15">
        <v>41</v>
      </c>
      <c r="B45" s="15" t="s">
        <v>94</v>
      </c>
      <c r="C45" s="16" t="s">
        <v>95</v>
      </c>
      <c r="D45" s="15"/>
      <c r="E45" s="15"/>
      <c r="F45" s="16" t="s">
        <v>93</v>
      </c>
      <c r="G45" s="15"/>
      <c r="H45" s="15"/>
      <c r="I45" s="27">
        <v>14.25</v>
      </c>
      <c r="J45" s="27">
        <f>I45*0.92</f>
        <v>13.11</v>
      </c>
      <c r="K45" s="27">
        <f>J45*0.92</f>
        <v>12.0612</v>
      </c>
      <c r="L45" s="27">
        <f>K45*0.94</f>
        <v>11.337528</v>
      </c>
      <c r="M45" s="27">
        <f>L45*0.94</f>
        <v>10.65727632</v>
      </c>
      <c r="N45" s="36"/>
      <c r="O45" s="30">
        <f>[8]核定表!$B$7</f>
        <v>30</v>
      </c>
      <c r="P45" s="30">
        <v>3640.07</v>
      </c>
      <c r="Q45" s="29">
        <f t="shared" si="7"/>
        <v>109202.1</v>
      </c>
      <c r="R45" s="41" t="e">
        <f>#REF!*0.75</f>
        <v>#REF!</v>
      </c>
      <c r="S45" s="39">
        <v>3220.5</v>
      </c>
    </row>
    <row r="46" ht="25.5" spans="1:19">
      <c r="A46" s="15">
        <v>42</v>
      </c>
      <c r="B46" s="15" t="s">
        <v>96</v>
      </c>
      <c r="C46" s="16" t="s">
        <v>97</v>
      </c>
      <c r="D46" s="15"/>
      <c r="E46" s="15"/>
      <c r="F46" s="16" t="s">
        <v>93</v>
      </c>
      <c r="G46" s="15"/>
      <c r="H46" s="15"/>
      <c r="I46" s="27">
        <v>14.25</v>
      </c>
      <c r="J46" s="27">
        <f>I46*0.92</f>
        <v>13.11</v>
      </c>
      <c r="K46" s="27">
        <f>J46*0.92</f>
        <v>12.0612</v>
      </c>
      <c r="L46" s="27">
        <f>K46*0.94</f>
        <v>11.337528</v>
      </c>
      <c r="M46" s="27">
        <f>L46*0.94</f>
        <v>10.65727632</v>
      </c>
      <c r="O46" s="30">
        <f>[9]南充市新增医疗服务价格项目成本测算表!$B$7</f>
        <v>30</v>
      </c>
      <c r="P46" s="30">
        <v>4081.19</v>
      </c>
      <c r="Q46" s="29">
        <f t="shared" si="7"/>
        <v>122435.7</v>
      </c>
      <c r="R46" s="42">
        <f>[9]核定表!$H$65</f>
        <v>2497.28</v>
      </c>
      <c r="S46" s="39">
        <v>2041.5</v>
      </c>
    </row>
    <row r="47" spans="1:19">
      <c r="A47" s="15">
        <v>43</v>
      </c>
      <c r="B47" s="15">
        <v>340100025</v>
      </c>
      <c r="C47" s="16" t="s">
        <v>98</v>
      </c>
      <c r="D47" s="15"/>
      <c r="E47" s="15"/>
      <c r="F47" s="16" t="s">
        <v>99</v>
      </c>
      <c r="G47" s="15"/>
      <c r="H47" s="15"/>
      <c r="I47" s="35">
        <v>7.5</v>
      </c>
      <c r="J47" s="27">
        <f>I47*0.92</f>
        <v>6.9</v>
      </c>
      <c r="K47" s="27">
        <f>J47*0.92</f>
        <v>6.348</v>
      </c>
      <c r="L47" s="27">
        <f>K47*0.94</f>
        <v>5.96712</v>
      </c>
      <c r="M47" s="27">
        <f>L47*0.94</f>
        <v>5.6090928</v>
      </c>
      <c r="O47" s="30">
        <f>[2]核定表!$B$7</f>
        <v>1000</v>
      </c>
      <c r="P47" s="30">
        <v>68.38</v>
      </c>
      <c r="Q47" s="29">
        <f t="shared" si="7"/>
        <v>68380</v>
      </c>
      <c r="R47" s="41" t="e">
        <f>#REF!*0.75</f>
        <v>#REF!</v>
      </c>
      <c r="S47" s="39">
        <v>7.5</v>
      </c>
    </row>
    <row r="48" ht="25.5" spans="1:19">
      <c r="A48" s="15">
        <v>44</v>
      </c>
      <c r="B48" s="15" t="s">
        <v>100</v>
      </c>
      <c r="C48" s="16" t="s">
        <v>101</v>
      </c>
      <c r="D48" s="16" t="s">
        <v>102</v>
      </c>
      <c r="E48" s="15"/>
      <c r="F48" s="16" t="s">
        <v>18</v>
      </c>
      <c r="G48" s="15"/>
      <c r="H48" s="15"/>
      <c r="I48" s="27">
        <v>135</v>
      </c>
      <c r="J48" s="27">
        <f t="shared" ref="J48:J54" si="8">I48*0.92</f>
        <v>124.2</v>
      </c>
      <c r="K48" s="27">
        <f t="shared" ref="K48:K54" si="9">J48*0.92</f>
        <v>114.264</v>
      </c>
      <c r="L48" s="27">
        <f t="shared" ref="L48:L54" si="10">K48*0.94</f>
        <v>107.40816</v>
      </c>
      <c r="M48" s="27">
        <f t="shared" ref="M48:M54" si="11">L48*0.94</f>
        <v>100.9636704</v>
      </c>
      <c r="O48" s="30">
        <f>[10]南充市新增医疗服务价格项目成本测算表!$B$7</f>
        <v>600</v>
      </c>
      <c r="P48" s="30">
        <v>83.13</v>
      </c>
      <c r="Q48" s="29">
        <f t="shared" si="7"/>
        <v>49878</v>
      </c>
      <c r="R48" s="42">
        <f>[10]核定表!$H$59</f>
        <v>50.84</v>
      </c>
      <c r="S48" s="39">
        <v>1497</v>
      </c>
    </row>
    <row r="49" ht="63.75" spans="1:19">
      <c r="A49" s="15">
        <v>45</v>
      </c>
      <c r="B49" s="15" t="s">
        <v>103</v>
      </c>
      <c r="C49" s="16" t="s">
        <v>104</v>
      </c>
      <c r="D49" s="16" t="s">
        <v>105</v>
      </c>
      <c r="E49" s="15"/>
      <c r="F49" s="16" t="s">
        <v>18</v>
      </c>
      <c r="G49" s="15"/>
      <c r="H49" s="15"/>
      <c r="I49" s="27">
        <v>142.5</v>
      </c>
      <c r="J49" s="27">
        <f t="shared" si="8"/>
        <v>131.1</v>
      </c>
      <c r="K49" s="27">
        <f t="shared" si="9"/>
        <v>120.612</v>
      </c>
      <c r="L49" s="27">
        <f t="shared" si="10"/>
        <v>113.37528</v>
      </c>
      <c r="M49" s="27">
        <f t="shared" si="11"/>
        <v>106.5727632</v>
      </c>
      <c r="O49" s="30">
        <f>[11]南充市新增医疗服务价格项目成本测算表!$B$7</f>
        <v>1000</v>
      </c>
      <c r="P49" s="30">
        <v>319.17</v>
      </c>
      <c r="Q49" s="29">
        <f t="shared" si="7"/>
        <v>319170</v>
      </c>
      <c r="R49" s="42">
        <f>[11]核定表!$H$61</f>
        <v>26.06</v>
      </c>
      <c r="S49" s="44">
        <v>2856</v>
      </c>
    </row>
    <row r="50" ht="145" customHeight="1" spans="1:19">
      <c r="A50" s="15">
        <v>46</v>
      </c>
      <c r="B50" s="15" t="s">
        <v>106</v>
      </c>
      <c r="C50" s="16" t="s">
        <v>107</v>
      </c>
      <c r="D50" s="16" t="s">
        <v>108</v>
      </c>
      <c r="E50" s="16" t="s">
        <v>109</v>
      </c>
      <c r="F50" s="16" t="s">
        <v>18</v>
      </c>
      <c r="G50" s="15"/>
      <c r="H50" s="15"/>
      <c r="I50" s="27">
        <v>2100</v>
      </c>
      <c r="J50" s="27">
        <f t="shared" si="8"/>
        <v>1932</v>
      </c>
      <c r="K50" s="27">
        <f t="shared" si="9"/>
        <v>1777.44</v>
      </c>
      <c r="L50" s="27">
        <f t="shared" si="10"/>
        <v>1670.7936</v>
      </c>
      <c r="M50" s="27">
        <f t="shared" si="11"/>
        <v>1570.545984</v>
      </c>
      <c r="O50" s="30">
        <f>[12]核定表!$B$7</f>
        <v>1000</v>
      </c>
      <c r="P50" s="30">
        <f>[12]南充市新增医疗服务价格项目成本测算表!$H$57</f>
        <v>212.83</v>
      </c>
      <c r="Q50" s="29">
        <f t="shared" si="7"/>
        <v>212830</v>
      </c>
      <c r="R50" s="42">
        <f>[12]核定表!$H$64</f>
        <v>137.29</v>
      </c>
      <c r="S50" s="44">
        <v>1339.27</v>
      </c>
    </row>
    <row r="51" ht="25.5" spans="1:19">
      <c r="A51" s="15">
        <v>47</v>
      </c>
      <c r="B51" s="15" t="s">
        <v>110</v>
      </c>
      <c r="C51" s="16" t="s">
        <v>111</v>
      </c>
      <c r="D51" s="16" t="s">
        <v>112</v>
      </c>
      <c r="E51" s="15"/>
      <c r="F51" s="16" t="s">
        <v>18</v>
      </c>
      <c r="G51" s="15"/>
      <c r="H51" s="15"/>
      <c r="I51" s="27">
        <v>75</v>
      </c>
      <c r="J51" s="27">
        <f t="shared" si="8"/>
        <v>69</v>
      </c>
      <c r="K51" s="27">
        <f t="shared" si="9"/>
        <v>63.48</v>
      </c>
      <c r="L51" s="27">
        <f t="shared" si="10"/>
        <v>59.6712</v>
      </c>
      <c r="M51" s="27">
        <f t="shared" si="11"/>
        <v>56.090928</v>
      </c>
      <c r="O51" s="30">
        <f>[13]南充市新增医疗服务价格项目成本测算表!$B$7</f>
        <v>100</v>
      </c>
      <c r="P51" s="30">
        <v>1811.18</v>
      </c>
      <c r="Q51" s="29">
        <f t="shared" si="7"/>
        <v>181118</v>
      </c>
      <c r="R51" s="42">
        <f>[13]核定表!$H$64</f>
        <v>1091.33</v>
      </c>
      <c r="S51" s="44">
        <v>50.84</v>
      </c>
    </row>
    <row r="52" ht="25.5" spans="1:19">
      <c r="A52" s="15">
        <v>48</v>
      </c>
      <c r="B52" s="15" t="s">
        <v>113</v>
      </c>
      <c r="C52" s="16" t="s">
        <v>114</v>
      </c>
      <c r="D52" s="16" t="s">
        <v>115</v>
      </c>
      <c r="E52" s="15"/>
      <c r="F52" s="16" t="s">
        <v>18</v>
      </c>
      <c r="G52" s="16" t="s">
        <v>116</v>
      </c>
      <c r="H52" s="16"/>
      <c r="I52" s="27">
        <v>108.89</v>
      </c>
      <c r="J52" s="27">
        <f t="shared" si="8"/>
        <v>100.1788</v>
      </c>
      <c r="K52" s="27">
        <f t="shared" si="9"/>
        <v>92.164496</v>
      </c>
      <c r="L52" s="27">
        <f t="shared" si="10"/>
        <v>86.63462624</v>
      </c>
      <c r="M52" s="27">
        <f t="shared" si="11"/>
        <v>81.4365486656</v>
      </c>
      <c r="S52" s="44">
        <v>137.29</v>
      </c>
    </row>
    <row r="53" ht="25.5" spans="1:19">
      <c r="A53" s="15">
        <v>49</v>
      </c>
      <c r="B53" s="15" t="s">
        <v>117</v>
      </c>
      <c r="C53" s="16" t="s">
        <v>118</v>
      </c>
      <c r="D53" s="16" t="s">
        <v>119</v>
      </c>
      <c r="E53" s="15"/>
      <c r="F53" s="16" t="s">
        <v>18</v>
      </c>
      <c r="G53" s="16" t="s">
        <v>120</v>
      </c>
      <c r="H53" s="16"/>
      <c r="I53" s="27">
        <v>98.25</v>
      </c>
      <c r="J53" s="27">
        <f t="shared" si="8"/>
        <v>90.39</v>
      </c>
      <c r="K53" s="27">
        <f t="shared" si="9"/>
        <v>83.1588</v>
      </c>
      <c r="L53" s="27">
        <f t="shared" si="10"/>
        <v>78.169272</v>
      </c>
      <c r="M53" s="27">
        <f t="shared" si="11"/>
        <v>73.47911568</v>
      </c>
      <c r="S53" s="44">
        <v>1091.33</v>
      </c>
    </row>
  </sheetData>
  <mergeCells count="2">
    <mergeCell ref="A1:M1"/>
    <mergeCell ref="A2:M2"/>
  </mergeCells>
  <conditionalFormatting sqref="B42:C42">
    <cfRule type="duplicateValues" dxfId="0" priority="5"/>
  </conditionalFormatting>
  <conditionalFormatting sqref="B5:C14 B16:C18 B29:C34">
    <cfRule type="duplicateValues" dxfId="0" priority="7"/>
  </conditionalFormatting>
  <conditionalFormatting sqref="B19:E21 G19:H21">
    <cfRule type="duplicateValues" dxfId="0" priority="2"/>
  </conditionalFormatting>
  <conditionalFormatting sqref="B22 B27:B28">
    <cfRule type="duplicateValues" dxfId="0" priority="4"/>
  </conditionalFormatting>
  <conditionalFormatting sqref="B23:M24">
    <cfRule type="duplicateValues" dxfId="0" priority="1"/>
  </conditionalFormatting>
  <conditionalFormatting sqref="B26:C26 B41:C41">
    <cfRule type="duplicateValues" dxfId="0" priority="6"/>
  </conditionalFormatting>
  <pageMargins left="0.7" right="0.7" top="0.75" bottom="0.75" header="0.3" footer="0.3"/>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新增49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JW</cp:lastModifiedBy>
  <dcterms:created xsi:type="dcterms:W3CDTF">2018-05-29T11:28:00Z</dcterms:created>
  <dcterms:modified xsi:type="dcterms:W3CDTF">2024-03-26T03:02:02Z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2052-12.1.0.16388</vt:lpwstr>
  </property>
</Properties>
</file>